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20940" windowHeight="12660"/>
  </bookViews>
  <sheets>
    <sheet name="Temperature Change Calcs" sheetId="2" r:id="rId1"/>
    <sheet name="Temp For 278" sheetId="9" r:id="rId2"/>
    <sheet name="Sequestration Calcs" sheetId="3" r:id="rId3"/>
    <sheet name="El Nino" sheetId="5" r:id="rId4"/>
    <sheet name="GHG Emission Calcs" sheetId="6" r:id="rId5"/>
    <sheet name="RCP2.6 Data" sheetId="7" r:id="rId6"/>
  </sheets>
  <calcPr calcId="125725"/>
</workbook>
</file>

<file path=xl/calcChain.xml><?xml version="1.0" encoding="utf-8"?>
<calcChain xmlns="http://schemas.openxmlformats.org/spreadsheetml/2006/main">
  <c r="Z22" i="2"/>
  <c r="Z21"/>
  <c r="Y21"/>
  <c r="Y20"/>
  <c r="U38"/>
  <c r="I27"/>
  <c r="Z17"/>
  <c r="B156"/>
  <c r="B157" s="1"/>
  <c r="C156"/>
  <c r="D156" s="1"/>
  <c r="E156" s="1"/>
  <c r="Z14"/>
  <c r="Y14"/>
  <c r="V13"/>
  <c r="W13" s="1"/>
  <c r="U14"/>
  <c r="U15" s="1"/>
  <c r="B158" l="1"/>
  <c r="C157"/>
  <c r="D157" s="1"/>
  <c r="E157" s="1"/>
  <c r="F156"/>
  <c r="U16"/>
  <c r="V15"/>
  <c r="W15" s="1"/>
  <c r="V14"/>
  <c r="W14" s="1"/>
  <c r="C158" l="1"/>
  <c r="D158" s="1"/>
  <c r="B159"/>
  <c r="F157"/>
  <c r="U17"/>
  <c r="V16"/>
  <c r="W16" s="1"/>
  <c r="E158" l="1"/>
  <c r="F158"/>
  <c r="B160"/>
  <c r="C159"/>
  <c r="D159" s="1"/>
  <c r="U18"/>
  <c r="V17"/>
  <c r="W17" s="1"/>
  <c r="C160" l="1"/>
  <c r="D160" s="1"/>
  <c r="B161"/>
  <c r="E159"/>
  <c r="F159"/>
  <c r="U19"/>
  <c r="V18"/>
  <c r="W18" s="1"/>
  <c r="E160" l="1"/>
  <c r="F160"/>
  <c r="B162"/>
  <c r="C161"/>
  <c r="D161" s="1"/>
  <c r="U20"/>
  <c r="V19"/>
  <c r="W19" s="1"/>
  <c r="C162" l="1"/>
  <c r="D162" s="1"/>
  <c r="B163"/>
  <c r="E161"/>
  <c r="F161"/>
  <c r="U21"/>
  <c r="V20"/>
  <c r="W20" s="1"/>
  <c r="E162" l="1"/>
  <c r="F162"/>
  <c r="B164"/>
  <c r="C163"/>
  <c r="D163" s="1"/>
  <c r="U22"/>
  <c r="V21"/>
  <c r="W21" s="1"/>
  <c r="E163" l="1"/>
  <c r="F163"/>
  <c r="C164"/>
  <c r="D164" s="1"/>
  <c r="B165"/>
  <c r="U23"/>
  <c r="V22"/>
  <c r="W22" s="1"/>
  <c r="E164" l="1"/>
  <c r="F164"/>
  <c r="B166"/>
  <c r="C165"/>
  <c r="D165" s="1"/>
  <c r="U24"/>
  <c r="V23"/>
  <c r="W23" s="1"/>
  <c r="E165" l="1"/>
  <c r="F165"/>
  <c r="C166"/>
  <c r="D166" s="1"/>
  <c r="B167"/>
  <c r="U25"/>
  <c r="V24"/>
  <c r="W24" s="1"/>
  <c r="E166" l="1"/>
  <c r="F166"/>
  <c r="B168"/>
  <c r="C167"/>
  <c r="D167" s="1"/>
  <c r="U26"/>
  <c r="V25"/>
  <c r="W25" s="1"/>
  <c r="C168" l="1"/>
  <c r="D168" s="1"/>
  <c r="B169"/>
  <c r="E167"/>
  <c r="F167"/>
  <c r="U27"/>
  <c r="V26"/>
  <c r="W26" s="1"/>
  <c r="E168" l="1"/>
  <c r="F168"/>
  <c r="B170"/>
  <c r="C169"/>
  <c r="D169" s="1"/>
  <c r="U28"/>
  <c r="V27"/>
  <c r="W27" s="1"/>
  <c r="E169" l="1"/>
  <c r="F169"/>
  <c r="C170"/>
  <c r="D170" s="1"/>
  <c r="B171"/>
  <c r="U29"/>
  <c r="V28"/>
  <c r="W28" s="1"/>
  <c r="E170" l="1"/>
  <c r="F170"/>
  <c r="B172"/>
  <c r="C171"/>
  <c r="D171" s="1"/>
  <c r="U30"/>
  <c r="V29"/>
  <c r="W29" s="1"/>
  <c r="E171" l="1"/>
  <c r="F171"/>
  <c r="C172"/>
  <c r="D172" s="1"/>
  <c r="B173"/>
  <c r="U31"/>
  <c r="V30"/>
  <c r="W30" s="1"/>
  <c r="E172" l="1"/>
  <c r="F172"/>
  <c r="B174"/>
  <c r="C173"/>
  <c r="D173" s="1"/>
  <c r="U32"/>
  <c r="V31"/>
  <c r="W31" s="1"/>
  <c r="C174" l="1"/>
  <c r="D174" s="1"/>
  <c r="B175"/>
  <c r="E173"/>
  <c r="F173"/>
  <c r="U33"/>
  <c r="V32"/>
  <c r="W32" s="1"/>
  <c r="E174" l="1"/>
  <c r="F174"/>
  <c r="B176"/>
  <c r="C175"/>
  <c r="D175" s="1"/>
  <c r="U34"/>
  <c r="V33"/>
  <c r="W33" s="1"/>
  <c r="E175" l="1"/>
  <c r="F175"/>
  <c r="C176"/>
  <c r="D176" s="1"/>
  <c r="B177"/>
  <c r="U35"/>
  <c r="V34"/>
  <c r="W34" s="1"/>
  <c r="E176" l="1"/>
  <c r="F176"/>
  <c r="B178"/>
  <c r="C177"/>
  <c r="D177" s="1"/>
  <c r="U36"/>
  <c r="V35"/>
  <c r="W35" s="1"/>
  <c r="E177" l="1"/>
  <c r="F177"/>
  <c r="C178"/>
  <c r="D178" s="1"/>
  <c r="B179"/>
  <c r="U37"/>
  <c r="V36"/>
  <c r="W36" s="1"/>
  <c r="E178" l="1"/>
  <c r="F178"/>
  <c r="B180"/>
  <c r="C179"/>
  <c r="D179" s="1"/>
  <c r="V37"/>
  <c r="W37" s="1"/>
  <c r="C180" l="1"/>
  <c r="D180" s="1"/>
  <c r="B181"/>
  <c r="E179"/>
  <c r="F179"/>
  <c r="U39"/>
  <c r="V38"/>
  <c r="W38" s="1"/>
  <c r="E180" l="1"/>
  <c r="F180"/>
  <c r="B182"/>
  <c r="C181"/>
  <c r="D181" s="1"/>
  <c r="U40"/>
  <c r="V39"/>
  <c r="W39" s="1"/>
  <c r="C182" l="1"/>
  <c r="D182" s="1"/>
  <c r="B183"/>
  <c r="E181"/>
  <c r="F181"/>
  <c r="U41"/>
  <c r="V40"/>
  <c r="W40" s="1"/>
  <c r="E182" l="1"/>
  <c r="F182"/>
  <c r="B184"/>
  <c r="C183"/>
  <c r="D183" s="1"/>
  <c r="U42"/>
  <c r="V41"/>
  <c r="W41" s="1"/>
  <c r="E183" l="1"/>
  <c r="F183"/>
  <c r="C184"/>
  <c r="D184" s="1"/>
  <c r="B185"/>
  <c r="U43"/>
  <c r="V42"/>
  <c r="W42" s="1"/>
  <c r="E184" l="1"/>
  <c r="F184"/>
  <c r="B186"/>
  <c r="C185"/>
  <c r="D185" s="1"/>
  <c r="U44"/>
  <c r="V43"/>
  <c r="W43" s="1"/>
  <c r="C186" l="1"/>
  <c r="D186" s="1"/>
  <c r="B187"/>
  <c r="E185"/>
  <c r="F185"/>
  <c r="U45"/>
  <c r="V44"/>
  <c r="W44" s="1"/>
  <c r="E186" l="1"/>
  <c r="F186"/>
  <c r="B188"/>
  <c r="C187"/>
  <c r="D187" s="1"/>
  <c r="U46"/>
  <c r="V45"/>
  <c r="W45" s="1"/>
  <c r="E187" l="1"/>
  <c r="F187"/>
  <c r="C188"/>
  <c r="D188" s="1"/>
  <c r="B189"/>
  <c r="U47"/>
  <c r="V46"/>
  <c r="W46" s="1"/>
  <c r="B190" l="1"/>
  <c r="C189"/>
  <c r="D189" s="1"/>
  <c r="E188"/>
  <c r="F188"/>
  <c r="U48"/>
  <c r="V47"/>
  <c r="W47" s="1"/>
  <c r="C190" l="1"/>
  <c r="D190" s="1"/>
  <c r="B191"/>
  <c r="E189"/>
  <c r="F189"/>
  <c r="U49"/>
  <c r="V48"/>
  <c r="W48" s="1"/>
  <c r="E190" l="1"/>
  <c r="F190"/>
  <c r="B192"/>
  <c r="C191"/>
  <c r="D191" s="1"/>
  <c r="U50"/>
  <c r="V49"/>
  <c r="W49" s="1"/>
  <c r="C192" l="1"/>
  <c r="D192" s="1"/>
  <c r="B193"/>
  <c r="E191"/>
  <c r="F191"/>
  <c r="U51"/>
  <c r="V50"/>
  <c r="W50" s="1"/>
  <c r="E192" l="1"/>
  <c r="F192"/>
  <c r="B194"/>
  <c r="C193"/>
  <c r="D193" s="1"/>
  <c r="U52"/>
  <c r="V51"/>
  <c r="W51" s="1"/>
  <c r="E193" l="1"/>
  <c r="F193"/>
  <c r="C194"/>
  <c r="D194" s="1"/>
  <c r="B195"/>
  <c r="U53"/>
  <c r="V53" s="1"/>
  <c r="W53" s="1"/>
  <c r="V52"/>
  <c r="W52" s="1"/>
  <c r="L21" i="9"/>
  <c r="L13"/>
  <c r="L27"/>
  <c r="L26"/>
  <c r="L25"/>
  <c r="L24"/>
  <c r="L23"/>
  <c r="L22"/>
  <c r="L20"/>
  <c r="L19"/>
  <c r="L18"/>
  <c r="L17"/>
  <c r="L16"/>
  <c r="L15"/>
  <c r="L14"/>
  <c r="J32"/>
  <c r="J31"/>
  <c r="J30"/>
  <c r="J29"/>
  <c r="J28"/>
  <c r="J27"/>
  <c r="J26"/>
  <c r="J25"/>
  <c r="J24"/>
  <c r="J23"/>
  <c r="J22"/>
  <c r="J21"/>
  <c r="J20"/>
  <c r="J19"/>
  <c r="J18"/>
  <c r="J17"/>
  <c r="J16"/>
  <c r="J15"/>
  <c r="J14"/>
  <c r="J13"/>
  <c r="X14"/>
  <c r="Y14" s="1"/>
  <c r="W14"/>
  <c r="W15" s="1"/>
  <c r="W16" s="1"/>
  <c r="Y13"/>
  <c r="X13"/>
  <c r="S14"/>
  <c r="O14"/>
  <c r="O15" s="1"/>
  <c r="O16" s="1"/>
  <c r="O17" s="1"/>
  <c r="O18" s="1"/>
  <c r="O19" s="1"/>
  <c r="O20" s="1"/>
  <c r="P13"/>
  <c r="Q13" s="1"/>
  <c r="P14"/>
  <c r="Q14" s="1"/>
  <c r="I14"/>
  <c r="I15" s="1"/>
  <c r="K15" s="1"/>
  <c r="B14"/>
  <c r="B15" s="1"/>
  <c r="B16" s="1"/>
  <c r="C13"/>
  <c r="A8"/>
  <c r="A5"/>
  <c r="F155" i="2"/>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M26"/>
  <c r="M25"/>
  <c r="M24"/>
  <c r="M23"/>
  <c r="M22"/>
  <c r="M21"/>
  <c r="M20"/>
  <c r="M19"/>
  <c r="M18"/>
  <c r="M17"/>
  <c r="M16"/>
  <c r="M15"/>
  <c r="M14"/>
  <c r="M13"/>
  <c r="B122"/>
  <c r="B123" s="1"/>
  <c r="C121"/>
  <c r="D121" s="1"/>
  <c r="B121"/>
  <c r="I16"/>
  <c r="I17" s="1"/>
  <c r="I18" s="1"/>
  <c r="I19" s="1"/>
  <c r="I20" s="1"/>
  <c r="I21" s="1"/>
  <c r="I22" s="1"/>
  <c r="I23" s="1"/>
  <c r="I24" s="1"/>
  <c r="I25" s="1"/>
  <c r="I26" s="1"/>
  <c r="I28" s="1"/>
  <c r="I29" s="1"/>
  <c r="I30" s="1"/>
  <c r="I31" s="1"/>
  <c r="I32" s="1"/>
  <c r="I33" s="1"/>
  <c r="I34" s="1"/>
  <c r="I35" s="1"/>
  <c r="I36" s="1"/>
  <c r="I37" s="1"/>
  <c r="I38" s="1"/>
  <c r="I39" s="1"/>
  <c r="I40" s="1"/>
  <c r="I41" s="1"/>
  <c r="I42" s="1"/>
  <c r="I43" s="1"/>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I77" s="1"/>
  <c r="I78" s="1"/>
  <c r="I79" s="1"/>
  <c r="I80" s="1"/>
  <c r="I81" s="1"/>
  <c r="I82" s="1"/>
  <c r="I83" s="1"/>
  <c r="I84" s="1"/>
  <c r="I85" s="1"/>
  <c r="I86" s="1"/>
  <c r="I87" s="1"/>
  <c r="I88" s="1"/>
  <c r="I89" s="1"/>
  <c r="I90" s="1"/>
  <c r="I91" s="1"/>
  <c r="I92" s="1"/>
  <c r="I93" s="1"/>
  <c r="I94" s="1"/>
  <c r="I95" s="1"/>
  <c r="I96" s="1"/>
  <c r="I97" s="1"/>
  <c r="I98" s="1"/>
  <c r="I99" s="1"/>
  <c r="I100" s="1"/>
  <c r="I101" s="1"/>
  <c r="I102" s="1"/>
  <c r="I103" s="1"/>
  <c r="I104" s="1"/>
  <c r="I105" s="1"/>
  <c r="I106" s="1"/>
  <c r="I107" s="1"/>
  <c r="I108" s="1"/>
  <c r="I109" s="1"/>
  <c r="I110" s="1"/>
  <c r="I111" s="1"/>
  <c r="I112" s="1"/>
  <c r="I15"/>
  <c r="B88"/>
  <c r="B89" s="1"/>
  <c r="C87"/>
  <c r="D87" s="1"/>
  <c r="B87"/>
  <c r="B63"/>
  <c r="B64" s="1"/>
  <c r="R77"/>
  <c r="J13"/>
  <c r="R69"/>
  <c r="R71" s="1"/>
  <c r="A3" i="6"/>
  <c r="Z48" i="7"/>
  <c r="Y48"/>
  <c r="X48"/>
  <c r="X54"/>
  <c r="U58"/>
  <c r="U57"/>
  <c r="U56"/>
  <c r="U54"/>
  <c r="Z54"/>
  <c r="Y54"/>
  <c r="V57"/>
  <c r="V56"/>
  <c r="W56"/>
  <c r="V58"/>
  <c r="V54"/>
  <c r="D118"/>
  <c r="D117"/>
  <c r="C116"/>
  <c r="C115"/>
  <c r="C114"/>
  <c r="C113"/>
  <c r="C112"/>
  <c r="C111"/>
  <c r="C110"/>
  <c r="C109"/>
  <c r="D116" s="1"/>
  <c r="C108"/>
  <c r="D104"/>
  <c r="D103"/>
  <c r="C102"/>
  <c r="C101"/>
  <c r="C100"/>
  <c r="C99"/>
  <c r="C98"/>
  <c r="C97"/>
  <c r="C96"/>
  <c r="C95"/>
  <c r="D102" s="1"/>
  <c r="C94"/>
  <c r="D89"/>
  <c r="D88"/>
  <c r="C87"/>
  <c r="C86"/>
  <c r="C85"/>
  <c r="C84"/>
  <c r="C83"/>
  <c r="C82"/>
  <c r="C81"/>
  <c r="C80"/>
  <c r="D87" s="1"/>
  <c r="C79"/>
  <c r="D76"/>
  <c r="D75"/>
  <c r="C74"/>
  <c r="C73"/>
  <c r="C72"/>
  <c r="C71"/>
  <c r="C70"/>
  <c r="C69"/>
  <c r="C68"/>
  <c r="C67"/>
  <c r="D74" s="1"/>
  <c r="C66"/>
  <c r="C59"/>
  <c r="C58"/>
  <c r="C57"/>
  <c r="C56"/>
  <c r="C55"/>
  <c r="C54"/>
  <c r="C53"/>
  <c r="C52"/>
  <c r="D59" s="1"/>
  <c r="C51"/>
  <c r="C47"/>
  <c r="C46"/>
  <c r="C45"/>
  <c r="C44"/>
  <c r="C43"/>
  <c r="C42"/>
  <c r="C41"/>
  <c r="C40"/>
  <c r="D47" s="1"/>
  <c r="C39"/>
  <c r="D36"/>
  <c r="C35"/>
  <c r="C34"/>
  <c r="C33"/>
  <c r="C32"/>
  <c r="C31"/>
  <c r="C30"/>
  <c r="C29"/>
  <c r="C28"/>
  <c r="C27"/>
  <c r="D35" s="1"/>
  <c r="D62" s="1"/>
  <c r="E62" s="1"/>
  <c r="D24"/>
  <c r="C23"/>
  <c r="C22"/>
  <c r="C21"/>
  <c r="C20"/>
  <c r="C19"/>
  <c r="C18"/>
  <c r="C17"/>
  <c r="C16"/>
  <c r="D23" s="1"/>
  <c r="C15"/>
  <c r="D12"/>
  <c r="C11"/>
  <c r="C10"/>
  <c r="C9"/>
  <c r="C8"/>
  <c r="C7"/>
  <c r="C6"/>
  <c r="C5"/>
  <c r="C4"/>
  <c r="C3"/>
  <c r="D11" s="1"/>
  <c r="E20" i="6"/>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5"/>
  <c r="E6" s="1"/>
  <c r="E7" s="1"/>
  <c r="E8" s="1"/>
  <c r="E9" s="1"/>
  <c r="E10" s="1"/>
  <c r="E11" s="1"/>
  <c r="E12" s="1"/>
  <c r="E13" s="1"/>
  <c r="E14" s="1"/>
  <c r="E15" s="1"/>
  <c r="E16" s="1"/>
  <c r="E17" s="1"/>
  <c r="E18" s="1"/>
  <c r="E19" s="1"/>
  <c r="E4"/>
  <c r="F4"/>
  <c r="F5" s="1"/>
  <c r="R29" i="2"/>
  <c r="R25"/>
  <c r="R22"/>
  <c r="R26"/>
  <c r="E194" l="1"/>
  <c r="F194"/>
  <c r="B196"/>
  <c r="C195"/>
  <c r="D195" s="1"/>
  <c r="W17" i="9"/>
  <c r="X16"/>
  <c r="Y16" s="1"/>
  <c r="X15"/>
  <c r="Y15" s="1"/>
  <c r="S15"/>
  <c r="T14"/>
  <c r="U14" s="1"/>
  <c r="T13"/>
  <c r="U13" s="1"/>
  <c r="O21"/>
  <c r="P20"/>
  <c r="Q20" s="1"/>
  <c r="C14"/>
  <c r="K14"/>
  <c r="D13"/>
  <c r="F13" s="1"/>
  <c r="D14"/>
  <c r="H14"/>
  <c r="M14"/>
  <c r="E13"/>
  <c r="B17"/>
  <c r="C16"/>
  <c r="D16" s="1"/>
  <c r="E14"/>
  <c r="F14"/>
  <c r="C15"/>
  <c r="D15" s="1"/>
  <c r="I16"/>
  <c r="K13"/>
  <c r="B124" i="2"/>
  <c r="C123"/>
  <c r="D123" s="1"/>
  <c r="E121"/>
  <c r="C122"/>
  <c r="D122" s="1"/>
  <c r="B90"/>
  <c r="C89"/>
  <c r="D89" s="1"/>
  <c r="E87"/>
  <c r="C88"/>
  <c r="D88" s="1"/>
  <c r="B65"/>
  <c r="C64"/>
  <c r="D64" s="1"/>
  <c r="C63"/>
  <c r="D63" s="1"/>
  <c r="F6" i="6"/>
  <c r="F7" s="1"/>
  <c r="F8" s="1"/>
  <c r="F9" s="1"/>
  <c r="F10" s="1"/>
  <c r="F11" s="1"/>
  <c r="F12" s="1"/>
  <c r="F13" s="1"/>
  <c r="F14" s="1"/>
  <c r="F15" s="1"/>
  <c r="F16" s="1"/>
  <c r="F17" s="1"/>
  <c r="F18" s="1"/>
  <c r="W57" i="7"/>
  <c r="W58"/>
  <c r="C196" i="2" l="1"/>
  <c r="D196" s="1"/>
  <c r="B197"/>
  <c r="E195"/>
  <c r="F195"/>
  <c r="W18" i="9"/>
  <c r="X17"/>
  <c r="Y17" s="1"/>
  <c r="S16"/>
  <c r="T15"/>
  <c r="U15" s="1"/>
  <c r="O22"/>
  <c r="P21"/>
  <c r="Q21" s="1"/>
  <c r="P15"/>
  <c r="Q15" s="1"/>
  <c r="M15"/>
  <c r="H15"/>
  <c r="I17"/>
  <c r="K16"/>
  <c r="M13"/>
  <c r="H13"/>
  <c r="B18"/>
  <c r="C17"/>
  <c r="D17" s="1"/>
  <c r="F15"/>
  <c r="E15"/>
  <c r="E16"/>
  <c r="F16"/>
  <c r="E122" i="2"/>
  <c r="B125"/>
  <c r="C124"/>
  <c r="D124" s="1"/>
  <c r="E123"/>
  <c r="E88"/>
  <c r="B91"/>
  <c r="C90"/>
  <c r="D90" s="1"/>
  <c r="E89"/>
  <c r="E63"/>
  <c r="B66"/>
  <c r="C65"/>
  <c r="D65" s="1"/>
  <c r="E64"/>
  <c r="F19" i="6"/>
  <c r="F20" s="1"/>
  <c r="F21" s="1"/>
  <c r="F22" s="1"/>
  <c r="F23" s="1"/>
  <c r="F24" s="1"/>
  <c r="F25" s="1"/>
  <c r="F26" s="1"/>
  <c r="F27" s="1"/>
  <c r="F28" s="1"/>
  <c r="F29" s="1"/>
  <c r="F30" s="1"/>
  <c r="F31" s="1"/>
  <c r="F32" s="1"/>
  <c r="F33" s="1"/>
  <c r="F34" s="1"/>
  <c r="F35" s="1"/>
  <c r="F36" s="1"/>
  <c r="F37" s="1"/>
  <c r="F38" s="1"/>
  <c r="F39" s="1"/>
  <c r="F40" s="1"/>
  <c r="F41" s="1"/>
  <c r="F42" s="1"/>
  <c r="F43" s="1"/>
  <c r="F44" s="1"/>
  <c r="F45" s="1"/>
  <c r="F46" s="1"/>
  <c r="F47" s="1"/>
  <c r="F48" s="1"/>
  <c r="A10" s="1"/>
  <c r="A9"/>
  <c r="E196" i="2" l="1"/>
  <c r="F196"/>
  <c r="B198"/>
  <c r="C197"/>
  <c r="D197" s="1"/>
  <c r="W19" i="9"/>
  <c r="X18"/>
  <c r="Y18" s="1"/>
  <c r="S17"/>
  <c r="T16"/>
  <c r="U16" s="1"/>
  <c r="O23"/>
  <c r="P22"/>
  <c r="Q22" s="1"/>
  <c r="P16"/>
  <c r="Q16" s="1"/>
  <c r="F17"/>
  <c r="E17"/>
  <c r="B19"/>
  <c r="C18"/>
  <c r="D18" s="1"/>
  <c r="I18"/>
  <c r="K17"/>
  <c r="H16"/>
  <c r="M16"/>
  <c r="B126" i="2"/>
  <c r="C125"/>
  <c r="D125" s="1"/>
  <c r="E124"/>
  <c r="B92"/>
  <c r="C91"/>
  <c r="D91" s="1"/>
  <c r="E90"/>
  <c r="B67"/>
  <c r="C66"/>
  <c r="D66" s="1"/>
  <c r="E65"/>
  <c r="A6" i="6"/>
  <c r="C198" i="2" l="1"/>
  <c r="D198" s="1"/>
  <c r="B199"/>
  <c r="E197"/>
  <c r="F197"/>
  <c r="W20" i="9"/>
  <c r="X19"/>
  <c r="Y19" s="1"/>
  <c r="S18"/>
  <c r="T17"/>
  <c r="U17" s="1"/>
  <c r="O24"/>
  <c r="P23"/>
  <c r="Q23" s="1"/>
  <c r="P17"/>
  <c r="Q17" s="1"/>
  <c r="M17"/>
  <c r="H17"/>
  <c r="K18"/>
  <c r="I19"/>
  <c r="B20"/>
  <c r="C19"/>
  <c r="D19" s="1"/>
  <c r="F18"/>
  <c r="E18"/>
  <c r="B127" i="2"/>
  <c r="C126"/>
  <c r="D126" s="1"/>
  <c r="E125"/>
  <c r="B93"/>
  <c r="C92"/>
  <c r="D92" s="1"/>
  <c r="E91"/>
  <c r="B68"/>
  <c r="C67"/>
  <c r="D67" s="1"/>
  <c r="E66"/>
  <c r="Q29"/>
  <c r="Q25"/>
  <c r="Q21"/>
  <c r="Q18"/>
  <c r="R17"/>
  <c r="R18" s="1"/>
  <c r="R30" s="1"/>
  <c r="R32" s="1"/>
  <c r="E198" l="1"/>
  <c r="F198"/>
  <c r="B200"/>
  <c r="C199"/>
  <c r="D199" s="1"/>
  <c r="W21" i="9"/>
  <c r="X20"/>
  <c r="Y20" s="1"/>
  <c r="S19"/>
  <c r="T18"/>
  <c r="U18" s="1"/>
  <c r="O25"/>
  <c r="P24"/>
  <c r="Q24" s="1"/>
  <c r="P18"/>
  <c r="Q18" s="1"/>
  <c r="P19"/>
  <c r="Q19" s="1"/>
  <c r="B21"/>
  <c r="C20"/>
  <c r="D20" s="1"/>
  <c r="M18"/>
  <c r="H18"/>
  <c r="E19"/>
  <c r="F19"/>
  <c r="I20"/>
  <c r="K19"/>
  <c r="B128" i="2"/>
  <c r="C127"/>
  <c r="D127" s="1"/>
  <c r="E126"/>
  <c r="B94"/>
  <c r="C93"/>
  <c r="D93" s="1"/>
  <c r="E92"/>
  <c r="E67"/>
  <c r="B69"/>
  <c r="C68"/>
  <c r="D68" s="1"/>
  <c r="Q30"/>
  <c r="Q32" s="1"/>
  <c r="C200" l="1"/>
  <c r="D200" s="1"/>
  <c r="B201"/>
  <c r="E199"/>
  <c r="F199"/>
  <c r="W22" i="9"/>
  <c r="X21"/>
  <c r="Y21" s="1"/>
  <c r="S20"/>
  <c r="T19"/>
  <c r="U19" s="1"/>
  <c r="O26"/>
  <c r="P25"/>
  <c r="Q25" s="1"/>
  <c r="K20"/>
  <c r="I21"/>
  <c r="C21"/>
  <c r="D21" s="1"/>
  <c r="B22"/>
  <c r="H19"/>
  <c r="M19"/>
  <c r="F20"/>
  <c r="E20"/>
  <c r="B129" i="2"/>
  <c r="C128"/>
  <c r="D128" s="1"/>
  <c r="E127"/>
  <c r="B95"/>
  <c r="C94"/>
  <c r="D94" s="1"/>
  <c r="E93"/>
  <c r="E68"/>
  <c r="B70"/>
  <c r="C69"/>
  <c r="D69" s="1"/>
  <c r="T27" i="5"/>
  <c r="T25"/>
  <c r="M19"/>
  <c r="M33"/>
  <c r="M32"/>
  <c r="M31"/>
  <c r="M30"/>
  <c r="M29"/>
  <c r="M28"/>
  <c r="M27"/>
  <c r="M26"/>
  <c r="M25"/>
  <c r="M24"/>
  <c r="M23"/>
  <c r="M22"/>
  <c r="M21"/>
  <c r="M20"/>
  <c r="W6"/>
  <c r="V6"/>
  <c r="E200" i="2" l="1"/>
  <c r="F200"/>
  <c r="B202"/>
  <c r="C201"/>
  <c r="D201" s="1"/>
  <c r="X22" i="9"/>
  <c r="Y22" s="1"/>
  <c r="S21"/>
  <c r="T20"/>
  <c r="U20" s="1"/>
  <c r="O27"/>
  <c r="P26"/>
  <c r="Q26" s="1"/>
  <c r="E21"/>
  <c r="F21"/>
  <c r="M20"/>
  <c r="H20"/>
  <c r="C22"/>
  <c r="D22" s="1"/>
  <c r="B23"/>
  <c r="I22"/>
  <c r="K21"/>
  <c r="B130" i="2"/>
  <c r="C129"/>
  <c r="D129" s="1"/>
  <c r="E128"/>
  <c r="B96"/>
  <c r="C95"/>
  <c r="D95" s="1"/>
  <c r="E94"/>
  <c r="B71"/>
  <c r="C70"/>
  <c r="D70" s="1"/>
  <c r="E69"/>
  <c r="A33" i="5"/>
  <c r="A32"/>
  <c r="A31"/>
  <c r="A30"/>
  <c r="A29"/>
  <c r="A28"/>
  <c r="A27"/>
  <c r="A26"/>
  <c r="A25"/>
  <c r="A24"/>
  <c r="A23"/>
  <c r="A22"/>
  <c r="A21"/>
  <c r="A20"/>
  <c r="A19"/>
  <c r="A18"/>
  <c r="A17"/>
  <c r="A16"/>
  <c r="A15"/>
  <c r="A14"/>
  <c r="A13"/>
  <c r="A12"/>
  <c r="A11"/>
  <c r="A10"/>
  <c r="A9"/>
  <c r="A8"/>
  <c r="A7"/>
  <c r="A6"/>
  <c r="A5"/>
  <c r="A4"/>
  <c r="A3"/>
  <c r="A2"/>
  <c r="N64" i="3"/>
  <c r="C202" i="2" l="1"/>
  <c r="D202" s="1"/>
  <c r="B203"/>
  <c r="E201"/>
  <c r="F201"/>
  <c r="S22" i="9"/>
  <c r="T21"/>
  <c r="U21" s="1"/>
  <c r="O28"/>
  <c r="P27"/>
  <c r="Q27" s="1"/>
  <c r="I23"/>
  <c r="K22"/>
  <c r="H21"/>
  <c r="M21"/>
  <c r="E22"/>
  <c r="F22"/>
  <c r="B24"/>
  <c r="C23"/>
  <c r="D23" s="1"/>
  <c r="B131" i="2"/>
  <c r="C130"/>
  <c r="D130" s="1"/>
  <c r="E129"/>
  <c r="B97"/>
  <c r="C96"/>
  <c r="D96" s="1"/>
  <c r="E95"/>
  <c r="B72"/>
  <c r="C71"/>
  <c r="D71" s="1"/>
  <c r="E70"/>
  <c r="E68" i="3"/>
  <c r="E40"/>
  <c r="E66"/>
  <c r="E65"/>
  <c r="E63"/>
  <c r="E62"/>
  <c r="E61"/>
  <c r="E60"/>
  <c r="E59"/>
  <c r="E58"/>
  <c r="E64" s="1"/>
  <c r="E57"/>
  <c r="E53"/>
  <c r="E52"/>
  <c r="E50"/>
  <c r="E49"/>
  <c r="E48"/>
  <c r="E47"/>
  <c r="E46"/>
  <c r="E45"/>
  <c r="E44"/>
  <c r="E51" s="1"/>
  <c r="E54" s="1"/>
  <c r="E38"/>
  <c r="E37"/>
  <c r="E35"/>
  <c r="E34"/>
  <c r="E33"/>
  <c r="E32"/>
  <c r="E31"/>
  <c r="E30"/>
  <c r="E29"/>
  <c r="E17"/>
  <c r="E16"/>
  <c r="E22"/>
  <c r="E21"/>
  <c r="E20"/>
  <c r="E18"/>
  <c r="E25"/>
  <c r="E19"/>
  <c r="E24"/>
  <c r="E23"/>
  <c r="A5" i="2"/>
  <c r="A8"/>
  <c r="E202" l="1"/>
  <c r="F202"/>
  <c r="B204"/>
  <c r="C203"/>
  <c r="D203" s="1"/>
  <c r="T22" i="9"/>
  <c r="U22" s="1"/>
  <c r="O29"/>
  <c r="P28"/>
  <c r="Q28" s="1"/>
  <c r="B25"/>
  <c r="C24"/>
  <c r="D24" s="1"/>
  <c r="I24"/>
  <c r="K23"/>
  <c r="H22"/>
  <c r="M22"/>
  <c r="E23"/>
  <c r="F23"/>
  <c r="B132" i="2"/>
  <c r="C131"/>
  <c r="D131" s="1"/>
  <c r="E130"/>
  <c r="B98"/>
  <c r="C97"/>
  <c r="D97" s="1"/>
  <c r="E96"/>
  <c r="B73"/>
  <c r="C72"/>
  <c r="D72" s="1"/>
  <c r="E71"/>
  <c r="E67" i="3"/>
  <c r="E26"/>
  <c r="E36"/>
  <c r="E39" s="1"/>
  <c r="I14" i="2"/>
  <c r="B14"/>
  <c r="B15" s="1"/>
  <c r="B16" s="1"/>
  <c r="B17" s="1"/>
  <c r="B18" s="1"/>
  <c r="B19" s="1"/>
  <c r="B20" s="1"/>
  <c r="B21" s="1"/>
  <c r="B22" s="1"/>
  <c r="B23" s="1"/>
  <c r="B24" s="1"/>
  <c r="B25" s="1"/>
  <c r="B26" s="1"/>
  <c r="B27" s="1"/>
  <c r="B28" s="1"/>
  <c r="B29" s="1"/>
  <c r="B30" s="1"/>
  <c r="B31" s="1"/>
  <c r="B32" s="1"/>
  <c r="B33" s="1"/>
  <c r="B34" s="1"/>
  <c r="B35" s="1"/>
  <c r="B36" s="1"/>
  <c r="B37" s="1"/>
  <c r="B38" s="1"/>
  <c r="B39" s="1"/>
  <c r="B40" s="1"/>
  <c r="C13"/>
  <c r="D13" s="1"/>
  <c r="C204" l="1"/>
  <c r="D204" s="1"/>
  <c r="B205"/>
  <c r="E203"/>
  <c r="F203"/>
  <c r="O30" i="9"/>
  <c r="P29"/>
  <c r="Q29" s="1"/>
  <c r="K24"/>
  <c r="I25"/>
  <c r="B26"/>
  <c r="C25"/>
  <c r="D25" s="1"/>
  <c r="H23"/>
  <c r="M23"/>
  <c r="F24"/>
  <c r="E24"/>
  <c r="B133" i="2"/>
  <c r="C132"/>
  <c r="D132" s="1"/>
  <c r="E131"/>
  <c r="B99"/>
  <c r="C98"/>
  <c r="D98" s="1"/>
  <c r="E97"/>
  <c r="B74"/>
  <c r="C73"/>
  <c r="D73" s="1"/>
  <c r="E72"/>
  <c r="J14"/>
  <c r="K13"/>
  <c r="K15"/>
  <c r="L13"/>
  <c r="L15"/>
  <c r="K14"/>
  <c r="L14"/>
  <c r="B41"/>
  <c r="C40"/>
  <c r="D40" s="1"/>
  <c r="C39"/>
  <c r="D39" s="1"/>
  <c r="E13"/>
  <c r="E204" l="1"/>
  <c r="F204"/>
  <c r="B206"/>
  <c r="C205"/>
  <c r="D205" s="1"/>
  <c r="O31" i="9"/>
  <c r="P30"/>
  <c r="Q30" s="1"/>
  <c r="B27"/>
  <c r="C26"/>
  <c r="D26" s="1"/>
  <c r="M24"/>
  <c r="H24"/>
  <c r="E25"/>
  <c r="F25"/>
  <c r="I26"/>
  <c r="K25"/>
  <c r="B134" i="2"/>
  <c r="C133"/>
  <c r="D133" s="1"/>
  <c r="E132"/>
  <c r="B100"/>
  <c r="C99"/>
  <c r="D99" s="1"/>
  <c r="E98"/>
  <c r="B75"/>
  <c r="C74"/>
  <c r="D74" s="1"/>
  <c r="E73"/>
  <c r="J15"/>
  <c r="H13"/>
  <c r="H14"/>
  <c r="H15"/>
  <c r="E39"/>
  <c r="B42"/>
  <c r="C41"/>
  <c r="D41" s="1"/>
  <c r="E40"/>
  <c r="C206" l="1"/>
  <c r="D206" s="1"/>
  <c r="B207"/>
  <c r="E205"/>
  <c r="F205"/>
  <c r="O32" i="9"/>
  <c r="P31"/>
  <c r="Q31" s="1"/>
  <c r="H25"/>
  <c r="M25"/>
  <c r="I27"/>
  <c r="K26"/>
  <c r="B28"/>
  <c r="C27"/>
  <c r="D27" s="1"/>
  <c r="F26"/>
  <c r="E26"/>
  <c r="B135" i="2"/>
  <c r="C134"/>
  <c r="D134" s="1"/>
  <c r="E133"/>
  <c r="B101"/>
  <c r="C100"/>
  <c r="D100" s="1"/>
  <c r="E99"/>
  <c r="B76"/>
  <c r="C75"/>
  <c r="D75" s="1"/>
  <c r="E74"/>
  <c r="J17"/>
  <c r="L17"/>
  <c r="K17"/>
  <c r="J16"/>
  <c r="K16"/>
  <c r="L16"/>
  <c r="B43"/>
  <c r="C42"/>
  <c r="D42" s="1"/>
  <c r="E41"/>
  <c r="E206" l="1"/>
  <c r="F206"/>
  <c r="B208"/>
  <c r="C207"/>
  <c r="D207" s="1"/>
  <c r="O33" i="9"/>
  <c r="P32"/>
  <c r="Q32" s="1"/>
  <c r="B29"/>
  <c r="C28"/>
  <c r="D28" s="1"/>
  <c r="M26"/>
  <c r="H26"/>
  <c r="K27"/>
  <c r="I28"/>
  <c r="F27"/>
  <c r="E27"/>
  <c r="B136" i="2"/>
  <c r="C135"/>
  <c r="D135" s="1"/>
  <c r="E134"/>
  <c r="B102"/>
  <c r="C101"/>
  <c r="D101" s="1"/>
  <c r="E100"/>
  <c r="B77"/>
  <c r="C76"/>
  <c r="D76" s="1"/>
  <c r="E75"/>
  <c r="H17"/>
  <c r="J18"/>
  <c r="L18"/>
  <c r="K18"/>
  <c r="H16"/>
  <c r="B44"/>
  <c r="C43"/>
  <c r="D43" s="1"/>
  <c r="E42"/>
  <c r="C208" l="1"/>
  <c r="D208" s="1"/>
  <c r="B209"/>
  <c r="E207"/>
  <c r="F207"/>
  <c r="O34" i="9"/>
  <c r="P33"/>
  <c r="Q33" s="1"/>
  <c r="I29"/>
  <c r="L28"/>
  <c r="K28"/>
  <c r="M27"/>
  <c r="H27"/>
  <c r="B30"/>
  <c r="C29"/>
  <c r="D29" s="1"/>
  <c r="E28"/>
  <c r="F28"/>
  <c r="B137" i="2"/>
  <c r="C136"/>
  <c r="D136" s="1"/>
  <c r="E135"/>
  <c r="B103"/>
  <c r="C102"/>
  <c r="D102" s="1"/>
  <c r="E101"/>
  <c r="B78"/>
  <c r="C77"/>
  <c r="D77" s="1"/>
  <c r="E76"/>
  <c r="K19"/>
  <c r="L19"/>
  <c r="J19"/>
  <c r="H18"/>
  <c r="B45"/>
  <c r="C44"/>
  <c r="D44" s="1"/>
  <c r="E43"/>
  <c r="E208" l="1"/>
  <c r="F208"/>
  <c r="B210"/>
  <c r="C209"/>
  <c r="D209" s="1"/>
  <c r="O35" i="9"/>
  <c r="P34"/>
  <c r="Q34" s="1"/>
  <c r="B31"/>
  <c r="C30"/>
  <c r="D30" s="1"/>
  <c r="K29"/>
  <c r="I30"/>
  <c r="L29"/>
  <c r="F29"/>
  <c r="E29"/>
  <c r="H28"/>
  <c r="M28"/>
  <c r="B138" i="2"/>
  <c r="C137"/>
  <c r="D137" s="1"/>
  <c r="E136"/>
  <c r="B104"/>
  <c r="C103"/>
  <c r="D103" s="1"/>
  <c r="E102"/>
  <c r="B79"/>
  <c r="C78"/>
  <c r="D78" s="1"/>
  <c r="E77"/>
  <c r="J20"/>
  <c r="K20"/>
  <c r="L20"/>
  <c r="H19"/>
  <c r="B46"/>
  <c r="C45"/>
  <c r="D45" s="1"/>
  <c r="E44"/>
  <c r="E209" l="1"/>
  <c r="F209"/>
  <c r="C210"/>
  <c r="D210" s="1"/>
  <c r="B211"/>
  <c r="O36" i="9"/>
  <c r="P35"/>
  <c r="Q35" s="1"/>
  <c r="M29"/>
  <c r="H29"/>
  <c r="B32"/>
  <c r="C31"/>
  <c r="D31" s="1"/>
  <c r="I31"/>
  <c r="L30"/>
  <c r="K30"/>
  <c r="E30"/>
  <c r="F30"/>
  <c r="B139" i="2"/>
  <c r="C138"/>
  <c r="D138" s="1"/>
  <c r="E137"/>
  <c r="B105"/>
  <c r="C104"/>
  <c r="D104" s="1"/>
  <c r="E103"/>
  <c r="B80"/>
  <c r="C79"/>
  <c r="D79" s="1"/>
  <c r="E78"/>
  <c r="K21"/>
  <c r="L21"/>
  <c r="J21"/>
  <c r="H20"/>
  <c r="B47"/>
  <c r="C46"/>
  <c r="D46" s="1"/>
  <c r="E45"/>
  <c r="E210" l="1"/>
  <c r="F210"/>
  <c r="B212"/>
  <c r="C211"/>
  <c r="D211" s="1"/>
  <c r="O37" i="9"/>
  <c r="P36"/>
  <c r="Q36" s="1"/>
  <c r="H30"/>
  <c r="M30"/>
  <c r="K31"/>
  <c r="I32"/>
  <c r="L31"/>
  <c r="B33"/>
  <c r="C32"/>
  <c r="D32" s="1"/>
  <c r="F31"/>
  <c r="E31"/>
  <c r="B140" i="2"/>
  <c r="C139"/>
  <c r="D139" s="1"/>
  <c r="E138"/>
  <c r="B106"/>
  <c r="C105"/>
  <c r="D105" s="1"/>
  <c r="E104"/>
  <c r="B81"/>
  <c r="C80"/>
  <c r="D80" s="1"/>
  <c r="E79"/>
  <c r="J22"/>
  <c r="L22"/>
  <c r="K22"/>
  <c r="H21"/>
  <c r="B48"/>
  <c r="C47"/>
  <c r="D47" s="1"/>
  <c r="E46"/>
  <c r="C212" l="1"/>
  <c r="D212" s="1"/>
  <c r="B213"/>
  <c r="E211"/>
  <c r="F211"/>
  <c r="O38" i="9"/>
  <c r="P37"/>
  <c r="Q37" s="1"/>
  <c r="B34"/>
  <c r="C33"/>
  <c r="D33" s="1"/>
  <c r="M31"/>
  <c r="H31"/>
  <c r="E32"/>
  <c r="F32"/>
  <c r="I33"/>
  <c r="L32"/>
  <c r="K32"/>
  <c r="B141" i="2"/>
  <c r="C140"/>
  <c r="D140" s="1"/>
  <c r="E139"/>
  <c r="B107"/>
  <c r="C106"/>
  <c r="D106" s="1"/>
  <c r="E105"/>
  <c r="B82"/>
  <c r="C81"/>
  <c r="D81" s="1"/>
  <c r="E80"/>
  <c r="J23"/>
  <c r="K23"/>
  <c r="L23"/>
  <c r="H22"/>
  <c r="B49"/>
  <c r="C48"/>
  <c r="D48" s="1"/>
  <c r="E47"/>
  <c r="E212" l="1"/>
  <c r="F212"/>
  <c r="B214"/>
  <c r="C213"/>
  <c r="D213" s="1"/>
  <c r="O39" i="9"/>
  <c r="P38"/>
  <c r="Q38" s="1"/>
  <c r="K33"/>
  <c r="I34"/>
  <c r="L33"/>
  <c r="J33"/>
  <c r="B35"/>
  <c r="C34"/>
  <c r="D34" s="1"/>
  <c r="H32"/>
  <c r="M32"/>
  <c r="F33"/>
  <c r="E33"/>
  <c r="B142" i="2"/>
  <c r="C141"/>
  <c r="D141" s="1"/>
  <c r="E140"/>
  <c r="B108"/>
  <c r="C107"/>
  <c r="D107" s="1"/>
  <c r="E106"/>
  <c r="B83"/>
  <c r="C82"/>
  <c r="D82" s="1"/>
  <c r="E81"/>
  <c r="J24"/>
  <c r="L24"/>
  <c r="K24"/>
  <c r="H23"/>
  <c r="B50"/>
  <c r="C49"/>
  <c r="D49" s="1"/>
  <c r="E48"/>
  <c r="C214" l="1"/>
  <c r="D214" s="1"/>
  <c r="B215"/>
  <c r="E213"/>
  <c r="F213"/>
  <c r="O40" i="9"/>
  <c r="P39"/>
  <c r="Q39" s="1"/>
  <c r="B36"/>
  <c r="C35"/>
  <c r="D35" s="1"/>
  <c r="M33"/>
  <c r="H33"/>
  <c r="E34"/>
  <c r="F34"/>
  <c r="I35"/>
  <c r="L34"/>
  <c r="J34"/>
  <c r="K34"/>
  <c r="B143" i="2"/>
  <c r="C142"/>
  <c r="D142" s="1"/>
  <c r="E141"/>
  <c r="B109"/>
  <c r="C108"/>
  <c r="D108" s="1"/>
  <c r="E107"/>
  <c r="B84"/>
  <c r="C83"/>
  <c r="D83" s="1"/>
  <c r="E82"/>
  <c r="H24"/>
  <c r="K25"/>
  <c r="J25"/>
  <c r="L25"/>
  <c r="B51"/>
  <c r="C50"/>
  <c r="D50" s="1"/>
  <c r="E49"/>
  <c r="E214" l="1"/>
  <c r="F214"/>
  <c r="B216"/>
  <c r="C215"/>
  <c r="D215" s="1"/>
  <c r="O41" i="9"/>
  <c r="P40"/>
  <c r="Q40" s="1"/>
  <c r="K35"/>
  <c r="I36"/>
  <c r="L35"/>
  <c r="J35"/>
  <c r="B37"/>
  <c r="C36"/>
  <c r="D36" s="1"/>
  <c r="H34"/>
  <c r="M34"/>
  <c r="F35"/>
  <c r="E35"/>
  <c r="B144" i="2"/>
  <c r="C143"/>
  <c r="D143" s="1"/>
  <c r="E142"/>
  <c r="B110"/>
  <c r="C109"/>
  <c r="D109" s="1"/>
  <c r="E108"/>
  <c r="B85"/>
  <c r="C84"/>
  <c r="D84" s="1"/>
  <c r="E83"/>
  <c r="K26"/>
  <c r="J26"/>
  <c r="L26"/>
  <c r="H25"/>
  <c r="B52"/>
  <c r="C51"/>
  <c r="D51" s="1"/>
  <c r="E50"/>
  <c r="C216" l="1"/>
  <c r="D216" s="1"/>
  <c r="B217"/>
  <c r="E215"/>
  <c r="F215"/>
  <c r="O42" i="9"/>
  <c r="P41"/>
  <c r="Q41" s="1"/>
  <c r="B38"/>
  <c r="C37"/>
  <c r="D37" s="1"/>
  <c r="M35"/>
  <c r="H35"/>
  <c r="E36"/>
  <c r="F36"/>
  <c r="I37"/>
  <c r="L36"/>
  <c r="J36"/>
  <c r="K36"/>
  <c r="B145" i="2"/>
  <c r="C144"/>
  <c r="D144" s="1"/>
  <c r="E143"/>
  <c r="B111"/>
  <c r="C110"/>
  <c r="D110" s="1"/>
  <c r="E109"/>
  <c r="B86"/>
  <c r="C86" s="1"/>
  <c r="D86" s="1"/>
  <c r="C85"/>
  <c r="D85" s="1"/>
  <c r="E84"/>
  <c r="H26"/>
  <c r="K27"/>
  <c r="L27"/>
  <c r="M27" s="1"/>
  <c r="J27"/>
  <c r="B53"/>
  <c r="C52"/>
  <c r="D52" s="1"/>
  <c r="E51"/>
  <c r="E216" l="1"/>
  <c r="F216"/>
  <c r="B218"/>
  <c r="C217"/>
  <c r="D217" s="1"/>
  <c r="O43" i="9"/>
  <c r="P42"/>
  <c r="Q42" s="1"/>
  <c r="K37"/>
  <c r="I38"/>
  <c r="L37"/>
  <c r="J37"/>
  <c r="B39"/>
  <c r="C38"/>
  <c r="D38" s="1"/>
  <c r="H36"/>
  <c r="M36"/>
  <c r="F37"/>
  <c r="E37"/>
  <c r="B146" i="2"/>
  <c r="C145"/>
  <c r="D145" s="1"/>
  <c r="E144"/>
  <c r="E110"/>
  <c r="B112"/>
  <c r="C111"/>
  <c r="D111" s="1"/>
  <c r="E86"/>
  <c r="E85"/>
  <c r="H27"/>
  <c r="K28"/>
  <c r="J28"/>
  <c r="L28"/>
  <c r="M28" s="1"/>
  <c r="E52"/>
  <c r="B54"/>
  <c r="C53"/>
  <c r="D53" s="1"/>
  <c r="C27"/>
  <c r="D27" s="1"/>
  <c r="C218" l="1"/>
  <c r="D218" s="1"/>
  <c r="B219"/>
  <c r="E217"/>
  <c r="F217"/>
  <c r="O44" i="9"/>
  <c r="P43"/>
  <c r="Q43" s="1"/>
  <c r="B40"/>
  <c r="C39"/>
  <c r="D39" s="1"/>
  <c r="M37"/>
  <c r="H37"/>
  <c r="E38"/>
  <c r="F38"/>
  <c r="I39"/>
  <c r="L38"/>
  <c r="J38"/>
  <c r="K38"/>
  <c r="B147" i="2"/>
  <c r="C146"/>
  <c r="D146" s="1"/>
  <c r="E145"/>
  <c r="B113"/>
  <c r="C112"/>
  <c r="D112" s="1"/>
  <c r="E111"/>
  <c r="J29"/>
  <c r="K29"/>
  <c r="L29"/>
  <c r="M29" s="1"/>
  <c r="H28"/>
  <c r="B55"/>
  <c r="C54"/>
  <c r="D54" s="1"/>
  <c r="E53"/>
  <c r="E27"/>
  <c r="C28"/>
  <c r="D28" s="1"/>
  <c r="E218" l="1"/>
  <c r="F218"/>
  <c r="B220"/>
  <c r="C219"/>
  <c r="D219" s="1"/>
  <c r="O45" i="9"/>
  <c r="P44"/>
  <c r="Q44" s="1"/>
  <c r="K39"/>
  <c r="I40"/>
  <c r="L39"/>
  <c r="J39"/>
  <c r="B41"/>
  <c r="C40"/>
  <c r="D40" s="1"/>
  <c r="H38"/>
  <c r="M38"/>
  <c r="F39"/>
  <c r="E39"/>
  <c r="B148" i="2"/>
  <c r="C147"/>
  <c r="D147" s="1"/>
  <c r="E146"/>
  <c r="E112"/>
  <c r="B114"/>
  <c r="C113"/>
  <c r="D113" s="1"/>
  <c r="K30"/>
  <c r="J30"/>
  <c r="L30"/>
  <c r="M30" s="1"/>
  <c r="H29"/>
  <c r="B56"/>
  <c r="C55"/>
  <c r="D55" s="1"/>
  <c r="E54"/>
  <c r="E28"/>
  <c r="C29"/>
  <c r="D29" s="1"/>
  <c r="E219" l="1"/>
  <c r="F219"/>
  <c r="C220"/>
  <c r="D220" s="1"/>
  <c r="B221"/>
  <c r="O46" i="9"/>
  <c r="P45"/>
  <c r="Q45" s="1"/>
  <c r="B42"/>
  <c r="C41"/>
  <c r="D41" s="1"/>
  <c r="M39"/>
  <c r="H39"/>
  <c r="E40"/>
  <c r="F40"/>
  <c r="I41"/>
  <c r="L40"/>
  <c r="J40"/>
  <c r="K40"/>
  <c r="B149" i="2"/>
  <c r="C148"/>
  <c r="D148" s="1"/>
  <c r="E147"/>
  <c r="E113"/>
  <c r="B115"/>
  <c r="C114"/>
  <c r="D114" s="1"/>
  <c r="K31"/>
  <c r="L31"/>
  <c r="M31" s="1"/>
  <c r="J31"/>
  <c r="H30"/>
  <c r="B57"/>
  <c r="C56"/>
  <c r="D56" s="1"/>
  <c r="E55"/>
  <c r="E29"/>
  <c r="C30"/>
  <c r="D30" s="1"/>
  <c r="E220" l="1"/>
  <c r="F220"/>
  <c r="B222"/>
  <c r="C221"/>
  <c r="D221" s="1"/>
  <c r="O47" i="9"/>
  <c r="P46"/>
  <c r="Q46" s="1"/>
  <c r="K41"/>
  <c r="I42"/>
  <c r="L41"/>
  <c r="J41"/>
  <c r="B43"/>
  <c r="C42"/>
  <c r="D42" s="1"/>
  <c r="H40"/>
  <c r="M40"/>
  <c r="F41"/>
  <c r="E41"/>
  <c r="B150" i="2"/>
  <c r="C149"/>
  <c r="D149" s="1"/>
  <c r="E148"/>
  <c r="B116"/>
  <c r="C115"/>
  <c r="D115" s="1"/>
  <c r="E114"/>
  <c r="K32"/>
  <c r="J32"/>
  <c r="L32"/>
  <c r="M32" s="1"/>
  <c r="H31"/>
  <c r="B58"/>
  <c r="C57"/>
  <c r="D57" s="1"/>
  <c r="E56"/>
  <c r="E30"/>
  <c r="C31"/>
  <c r="D31" s="1"/>
  <c r="E221" l="1"/>
  <c r="F221"/>
  <c r="C222"/>
  <c r="D222" s="1"/>
  <c r="B223"/>
  <c r="O48" i="9"/>
  <c r="P47"/>
  <c r="Q47" s="1"/>
  <c r="B44"/>
  <c r="C43"/>
  <c r="D43" s="1"/>
  <c r="M41"/>
  <c r="H41"/>
  <c r="E42"/>
  <c r="F42"/>
  <c r="L42"/>
  <c r="J42"/>
  <c r="I43"/>
  <c r="K42"/>
  <c r="B151" i="2"/>
  <c r="C150"/>
  <c r="D150" s="1"/>
  <c r="E149"/>
  <c r="B117"/>
  <c r="C116"/>
  <c r="D116" s="1"/>
  <c r="E115"/>
  <c r="H32"/>
  <c r="L33"/>
  <c r="M33" s="1"/>
  <c r="K33"/>
  <c r="J33"/>
  <c r="B59"/>
  <c r="C58"/>
  <c r="D58" s="1"/>
  <c r="E57"/>
  <c r="E31"/>
  <c r="C32"/>
  <c r="D32" s="1"/>
  <c r="E222" l="1"/>
  <c r="F222"/>
  <c r="B224"/>
  <c r="C223"/>
  <c r="D223" s="1"/>
  <c r="O49" i="9"/>
  <c r="P48"/>
  <c r="Q48" s="1"/>
  <c r="I44"/>
  <c r="L43"/>
  <c r="J43"/>
  <c r="K43"/>
  <c r="H42"/>
  <c r="M42"/>
  <c r="C44"/>
  <c r="D44" s="1"/>
  <c r="B45"/>
  <c r="E43"/>
  <c r="F43"/>
  <c r="B152" i="2"/>
  <c r="C151"/>
  <c r="D151" s="1"/>
  <c r="E150"/>
  <c r="B118"/>
  <c r="C117"/>
  <c r="D117" s="1"/>
  <c r="E116"/>
  <c r="H33"/>
  <c r="J34"/>
  <c r="L34"/>
  <c r="M34" s="1"/>
  <c r="K34"/>
  <c r="B60"/>
  <c r="C59"/>
  <c r="D59" s="1"/>
  <c r="E58"/>
  <c r="E32"/>
  <c r="C33"/>
  <c r="D33" s="1"/>
  <c r="C224" l="1"/>
  <c r="D224" s="1"/>
  <c r="B225"/>
  <c r="E223"/>
  <c r="F223"/>
  <c r="O50" i="9"/>
  <c r="P49"/>
  <c r="Q49" s="1"/>
  <c r="F44"/>
  <c r="E44"/>
  <c r="K44"/>
  <c r="I45"/>
  <c r="L44"/>
  <c r="J44"/>
  <c r="B46"/>
  <c r="C45"/>
  <c r="D45" s="1"/>
  <c r="H43"/>
  <c r="M43"/>
  <c r="B153" i="2"/>
  <c r="C152"/>
  <c r="D152" s="1"/>
  <c r="E151"/>
  <c r="B119"/>
  <c r="C118"/>
  <c r="D118" s="1"/>
  <c r="E117"/>
  <c r="K35"/>
  <c r="L35"/>
  <c r="M35" s="1"/>
  <c r="J35"/>
  <c r="H34"/>
  <c r="B61"/>
  <c r="C60"/>
  <c r="D60" s="1"/>
  <c r="E59"/>
  <c r="E33"/>
  <c r="C34"/>
  <c r="D34" s="1"/>
  <c r="E224" l="1"/>
  <c r="F224"/>
  <c r="B226"/>
  <c r="C225"/>
  <c r="D225" s="1"/>
  <c r="O51" i="9"/>
  <c r="P50"/>
  <c r="Q50" s="1"/>
  <c r="B47"/>
  <c r="C46"/>
  <c r="D46" s="1"/>
  <c r="M44"/>
  <c r="H44"/>
  <c r="E45"/>
  <c r="F45"/>
  <c r="I46"/>
  <c r="L45"/>
  <c r="J45"/>
  <c r="K45"/>
  <c r="B154" i="2"/>
  <c r="C153"/>
  <c r="D153" s="1"/>
  <c r="E152"/>
  <c r="B120"/>
  <c r="C120" s="1"/>
  <c r="D120" s="1"/>
  <c r="C119"/>
  <c r="D119" s="1"/>
  <c r="E118"/>
  <c r="K36"/>
  <c r="L36"/>
  <c r="M36" s="1"/>
  <c r="J36"/>
  <c r="H35"/>
  <c r="B62"/>
  <c r="C61"/>
  <c r="D61" s="1"/>
  <c r="E60"/>
  <c r="E34"/>
  <c r="C35"/>
  <c r="D35" s="1"/>
  <c r="C226" l="1"/>
  <c r="D226" s="1"/>
  <c r="B227"/>
  <c r="E225"/>
  <c r="F225"/>
  <c r="O52" i="9"/>
  <c r="P51"/>
  <c r="Q51" s="1"/>
  <c r="H45"/>
  <c r="M45"/>
  <c r="K46"/>
  <c r="J46"/>
  <c r="I47"/>
  <c r="L46"/>
  <c r="B48"/>
  <c r="C47"/>
  <c r="D47" s="1"/>
  <c r="F46"/>
  <c r="E46"/>
  <c r="B155" i="2"/>
  <c r="C155" s="1"/>
  <c r="D155" s="1"/>
  <c r="C154"/>
  <c r="D154" s="1"/>
  <c r="E153"/>
  <c r="E120"/>
  <c r="E119"/>
  <c r="L37"/>
  <c r="M37" s="1"/>
  <c r="K37"/>
  <c r="J37"/>
  <c r="H36"/>
  <c r="C62"/>
  <c r="E61"/>
  <c r="E35"/>
  <c r="C36"/>
  <c r="D36" s="1"/>
  <c r="E226" l="1"/>
  <c r="F226"/>
  <c r="B228"/>
  <c r="C227"/>
  <c r="D227" s="1"/>
  <c r="O53" i="9"/>
  <c r="P53" s="1"/>
  <c r="Q53" s="1"/>
  <c r="P52"/>
  <c r="Q52" s="1"/>
  <c r="C48"/>
  <c r="D48" s="1"/>
  <c r="B49"/>
  <c r="I48"/>
  <c r="L47"/>
  <c r="J47"/>
  <c r="K47"/>
  <c r="E47"/>
  <c r="F47"/>
  <c r="M46"/>
  <c r="H46"/>
  <c r="E155" i="2"/>
  <c r="E154"/>
  <c r="H37"/>
  <c r="K38"/>
  <c r="L38"/>
  <c r="M38" s="1"/>
  <c r="J38"/>
  <c r="D62"/>
  <c r="E62" s="1"/>
  <c r="E36"/>
  <c r="C37"/>
  <c r="D37" s="1"/>
  <c r="C228" l="1"/>
  <c r="D228" s="1"/>
  <c r="B229"/>
  <c r="E227"/>
  <c r="F227"/>
  <c r="K48" i="9"/>
  <c r="I49"/>
  <c r="L48"/>
  <c r="J48"/>
  <c r="F48"/>
  <c r="E48"/>
  <c r="H47"/>
  <c r="M47"/>
  <c r="B50"/>
  <c r="C49"/>
  <c r="D49" s="1"/>
  <c r="K39" i="2"/>
  <c r="J39"/>
  <c r="L39"/>
  <c r="M39" s="1"/>
  <c r="H38"/>
  <c r="E37"/>
  <c r="C38"/>
  <c r="D38" s="1"/>
  <c r="E228" l="1"/>
  <c r="F228"/>
  <c r="B230"/>
  <c r="C229"/>
  <c r="D229" s="1"/>
  <c r="B51" i="9"/>
  <c r="C50"/>
  <c r="D50" s="1"/>
  <c r="M48"/>
  <c r="H48"/>
  <c r="E49"/>
  <c r="F49"/>
  <c r="I50"/>
  <c r="L49"/>
  <c r="J49"/>
  <c r="K49"/>
  <c r="K40" i="2"/>
  <c r="L40"/>
  <c r="M40" s="1"/>
  <c r="J40"/>
  <c r="H39"/>
  <c r="E38"/>
  <c r="E229" l="1"/>
  <c r="F229"/>
  <c r="C230"/>
  <c r="D230" s="1"/>
  <c r="B231"/>
  <c r="B52" i="9"/>
  <c r="C51"/>
  <c r="D51" s="1"/>
  <c r="K50"/>
  <c r="J50"/>
  <c r="I51"/>
  <c r="L50"/>
  <c r="H49"/>
  <c r="M49"/>
  <c r="F50"/>
  <c r="E50"/>
  <c r="L41" i="2"/>
  <c r="M41" s="1"/>
  <c r="K41"/>
  <c r="J41"/>
  <c r="H40"/>
  <c r="C18"/>
  <c r="D18" s="1"/>
  <c r="C26"/>
  <c r="D26" s="1"/>
  <c r="C16"/>
  <c r="D16" s="1"/>
  <c r="C25"/>
  <c r="D25" s="1"/>
  <c r="C22"/>
  <c r="D22" s="1"/>
  <c r="C15"/>
  <c r="D15" s="1"/>
  <c r="C17"/>
  <c r="D17" s="1"/>
  <c r="C23"/>
  <c r="D23" s="1"/>
  <c r="C24"/>
  <c r="D24" s="1"/>
  <c r="C14"/>
  <c r="D14" s="1"/>
  <c r="C19"/>
  <c r="D19" s="1"/>
  <c r="C21"/>
  <c r="D21" s="1"/>
  <c r="C20"/>
  <c r="D20" s="1"/>
  <c r="E230" l="1"/>
  <c r="F230"/>
  <c r="B232"/>
  <c r="C231"/>
  <c r="D231" s="1"/>
  <c r="I52" i="9"/>
  <c r="L51"/>
  <c r="J51"/>
  <c r="K51"/>
  <c r="B53"/>
  <c r="C52"/>
  <c r="D52" s="1"/>
  <c r="M50"/>
  <c r="H50"/>
  <c r="E51"/>
  <c r="F51"/>
  <c r="H41" i="2"/>
  <c r="J42"/>
  <c r="K42"/>
  <c r="L42"/>
  <c r="M42" s="1"/>
  <c r="E14"/>
  <c r="E20"/>
  <c r="E22"/>
  <c r="E21"/>
  <c r="E24"/>
  <c r="E17"/>
  <c r="E25"/>
  <c r="E19"/>
  <c r="E23"/>
  <c r="E18"/>
  <c r="E26"/>
  <c r="E16"/>
  <c r="E15"/>
  <c r="E231" l="1"/>
  <c r="F231"/>
  <c r="C232"/>
  <c r="D232" s="1"/>
  <c r="B233"/>
  <c r="B54" i="9"/>
  <c r="C53"/>
  <c r="D53" s="1"/>
  <c r="I53"/>
  <c r="L52"/>
  <c r="J52"/>
  <c r="K52"/>
  <c r="E52"/>
  <c r="F52"/>
  <c r="H51"/>
  <c r="M51"/>
  <c r="H42" i="2"/>
  <c r="K43"/>
  <c r="J43"/>
  <c r="L43"/>
  <c r="M43" s="1"/>
  <c r="E232" l="1"/>
  <c r="F232"/>
  <c r="B234"/>
  <c r="C233"/>
  <c r="D233" s="1"/>
  <c r="K53" i="9"/>
  <c r="I54"/>
  <c r="L53"/>
  <c r="J53"/>
  <c r="B55"/>
  <c r="C54"/>
  <c r="D54" s="1"/>
  <c r="H52"/>
  <c r="M52"/>
  <c r="F53"/>
  <c r="E53"/>
  <c r="K44" i="2"/>
  <c r="L44"/>
  <c r="M44" s="1"/>
  <c r="J44"/>
  <c r="H43"/>
  <c r="C234" l="1"/>
  <c r="D234" s="1"/>
  <c r="B235"/>
  <c r="E233"/>
  <c r="F233"/>
  <c r="B56" i="9"/>
  <c r="C55"/>
  <c r="D55" s="1"/>
  <c r="M53"/>
  <c r="H53"/>
  <c r="E54"/>
  <c r="F54"/>
  <c r="I55"/>
  <c r="L54"/>
  <c r="J54"/>
  <c r="K54"/>
  <c r="L45" i="2"/>
  <c r="M45" s="1"/>
  <c r="K45"/>
  <c r="J45"/>
  <c r="H44"/>
  <c r="E234" l="1"/>
  <c r="F234"/>
  <c r="B236"/>
  <c r="C235"/>
  <c r="D235" s="1"/>
  <c r="K55" i="9"/>
  <c r="I56"/>
  <c r="L55"/>
  <c r="J55"/>
  <c r="B57"/>
  <c r="C56"/>
  <c r="D56" s="1"/>
  <c r="H54"/>
  <c r="M54"/>
  <c r="F55"/>
  <c r="E55"/>
  <c r="H45" i="2"/>
  <c r="J46"/>
  <c r="K46"/>
  <c r="L46"/>
  <c r="M46" s="1"/>
  <c r="C236" l="1"/>
  <c r="D236" s="1"/>
  <c r="B237"/>
  <c r="E235"/>
  <c r="F235"/>
  <c r="E56" i="9"/>
  <c r="F56"/>
  <c r="I57"/>
  <c r="L56"/>
  <c r="J56"/>
  <c r="K56"/>
  <c r="B58"/>
  <c r="C57"/>
  <c r="D57" s="1"/>
  <c r="M55"/>
  <c r="H55"/>
  <c r="H46" i="2"/>
  <c r="L47"/>
  <c r="M47" s="1"/>
  <c r="J47"/>
  <c r="K47"/>
  <c r="E236" l="1"/>
  <c r="F236"/>
  <c r="B238"/>
  <c r="C237"/>
  <c r="D237" s="1"/>
  <c r="F57" i="9"/>
  <c r="E57"/>
  <c r="H56"/>
  <c r="M56"/>
  <c r="B59"/>
  <c r="C58"/>
  <c r="D58" s="1"/>
  <c r="K57"/>
  <c r="I58"/>
  <c r="L57"/>
  <c r="J57"/>
  <c r="K48" i="2"/>
  <c r="L48"/>
  <c r="M48" s="1"/>
  <c r="J48"/>
  <c r="H47"/>
  <c r="C238" l="1"/>
  <c r="D238" s="1"/>
  <c r="B239"/>
  <c r="E237"/>
  <c r="F237"/>
  <c r="I59" i="9"/>
  <c r="L58"/>
  <c r="J58"/>
  <c r="K58"/>
  <c r="E58"/>
  <c r="F58"/>
  <c r="M57"/>
  <c r="H57"/>
  <c r="B60"/>
  <c r="C59"/>
  <c r="D59" s="1"/>
  <c r="L49" i="2"/>
  <c r="M49" s="1"/>
  <c r="K49"/>
  <c r="J49"/>
  <c r="H48"/>
  <c r="E238" l="1"/>
  <c r="F238"/>
  <c r="B240"/>
  <c r="C239"/>
  <c r="D239" s="1"/>
  <c r="B61" i="9"/>
  <c r="C60"/>
  <c r="D60" s="1"/>
  <c r="K59"/>
  <c r="I60"/>
  <c r="L59"/>
  <c r="J59"/>
  <c r="F59"/>
  <c r="E59"/>
  <c r="H58"/>
  <c r="M58"/>
  <c r="K50" i="2"/>
  <c r="L50"/>
  <c r="M50" s="1"/>
  <c r="J50"/>
  <c r="H49"/>
  <c r="C240" l="1"/>
  <c r="D240" s="1"/>
  <c r="B241"/>
  <c r="E239"/>
  <c r="F239"/>
  <c r="I61" i="9"/>
  <c r="L60"/>
  <c r="J60"/>
  <c r="K60"/>
  <c r="M59"/>
  <c r="H59"/>
  <c r="B62"/>
  <c r="C61"/>
  <c r="D61" s="1"/>
  <c r="E60"/>
  <c r="F60"/>
  <c r="K51" i="2"/>
  <c r="L51"/>
  <c r="M51" s="1"/>
  <c r="J51"/>
  <c r="H50"/>
  <c r="B242" l="1"/>
  <c r="C241"/>
  <c r="D241" s="1"/>
  <c r="E240"/>
  <c r="F240"/>
  <c r="F61" i="9"/>
  <c r="E61"/>
  <c r="B63"/>
  <c r="C62"/>
  <c r="D62" s="1"/>
  <c r="K61"/>
  <c r="I62"/>
  <c r="L61"/>
  <c r="J61"/>
  <c r="H60"/>
  <c r="M60"/>
  <c r="J52" i="2"/>
  <c r="K52"/>
  <c r="L52"/>
  <c r="M52" s="1"/>
  <c r="H51"/>
  <c r="E241" l="1"/>
  <c r="F241"/>
  <c r="C242"/>
  <c r="D242" s="1"/>
  <c r="B243"/>
  <c r="I63" i="9"/>
  <c r="L62"/>
  <c r="J62"/>
  <c r="K62"/>
  <c r="M61"/>
  <c r="H61"/>
  <c r="B64"/>
  <c r="C63"/>
  <c r="D63" s="1"/>
  <c r="E62"/>
  <c r="F62"/>
  <c r="H52" i="2"/>
  <c r="L53"/>
  <c r="M53" s="1"/>
  <c r="K53"/>
  <c r="J53"/>
  <c r="E242" l="1"/>
  <c r="F242"/>
  <c r="B244"/>
  <c r="C243"/>
  <c r="D243" s="1"/>
  <c r="F63" i="9"/>
  <c r="E63"/>
  <c r="B65"/>
  <c r="C64"/>
  <c r="D64" s="1"/>
  <c r="K63"/>
  <c r="I64"/>
  <c r="L63"/>
  <c r="J63"/>
  <c r="H62"/>
  <c r="M62"/>
  <c r="H53" i="2"/>
  <c r="L54"/>
  <c r="M54" s="1"/>
  <c r="J54"/>
  <c r="K54"/>
  <c r="E243" l="1"/>
  <c r="F243"/>
  <c r="C244"/>
  <c r="D244" s="1"/>
  <c r="B245"/>
  <c r="I65" i="9"/>
  <c r="L64"/>
  <c r="J64"/>
  <c r="K64"/>
  <c r="M63"/>
  <c r="H63"/>
  <c r="B66"/>
  <c r="C65"/>
  <c r="D65" s="1"/>
  <c r="E64"/>
  <c r="F64"/>
  <c r="K55" i="2"/>
  <c r="J55"/>
  <c r="L55"/>
  <c r="M55" s="1"/>
  <c r="H54"/>
  <c r="E244" l="1"/>
  <c r="F244"/>
  <c r="B246"/>
  <c r="C245"/>
  <c r="D245" s="1"/>
  <c r="F65" i="9"/>
  <c r="E65"/>
  <c r="B67"/>
  <c r="C66"/>
  <c r="D66" s="1"/>
  <c r="K65"/>
  <c r="I66"/>
  <c r="L65"/>
  <c r="J65"/>
  <c r="H64"/>
  <c r="M64"/>
  <c r="L56" i="2"/>
  <c r="M56" s="1"/>
  <c r="K56"/>
  <c r="J56"/>
  <c r="H55"/>
  <c r="C246" l="1"/>
  <c r="D246" s="1"/>
  <c r="B247"/>
  <c r="E245"/>
  <c r="F245"/>
  <c r="I67" i="9"/>
  <c r="L66"/>
  <c r="J66"/>
  <c r="K66"/>
  <c r="M65"/>
  <c r="H65"/>
  <c r="B68"/>
  <c r="C67"/>
  <c r="D67" s="1"/>
  <c r="E66"/>
  <c r="F66"/>
  <c r="K57" i="2"/>
  <c r="L57"/>
  <c r="M57" s="1"/>
  <c r="J57"/>
  <c r="H56"/>
  <c r="E246" l="1"/>
  <c r="F246"/>
  <c r="B248"/>
  <c r="C247"/>
  <c r="D247" s="1"/>
  <c r="B69" i="9"/>
  <c r="C68"/>
  <c r="D68" s="1"/>
  <c r="K67"/>
  <c r="I68"/>
  <c r="L67"/>
  <c r="J67"/>
  <c r="F67"/>
  <c r="E67"/>
  <c r="H66"/>
  <c r="M66"/>
  <c r="H57" i="2"/>
  <c r="K58"/>
  <c r="J58"/>
  <c r="L58"/>
  <c r="M58" s="1"/>
  <c r="E247" l="1"/>
  <c r="F247"/>
  <c r="C248"/>
  <c r="D248" s="1"/>
  <c r="B249"/>
  <c r="C249" s="1"/>
  <c r="D249" s="1"/>
  <c r="I69" i="9"/>
  <c r="L68"/>
  <c r="J68"/>
  <c r="K68"/>
  <c r="M67"/>
  <c r="H67"/>
  <c r="B70"/>
  <c r="C69"/>
  <c r="D69" s="1"/>
  <c r="E68"/>
  <c r="F68"/>
  <c r="H58" i="2"/>
  <c r="J59"/>
  <c r="K59"/>
  <c r="L59"/>
  <c r="M59" s="1"/>
  <c r="E248" l="1"/>
  <c r="F248"/>
  <c r="E249"/>
  <c r="F249"/>
  <c r="F69" i="9"/>
  <c r="E69"/>
  <c r="B71"/>
  <c r="C70"/>
  <c r="D70" s="1"/>
  <c r="I70"/>
  <c r="K69"/>
  <c r="L69"/>
  <c r="J69"/>
  <c r="H68"/>
  <c r="M68"/>
  <c r="H59" i="2"/>
  <c r="K60"/>
  <c r="L60"/>
  <c r="M60" s="1"/>
  <c r="J60"/>
  <c r="M69" i="9" l="1"/>
  <c r="H69"/>
  <c r="K70"/>
  <c r="I71"/>
  <c r="L70"/>
  <c r="J70"/>
  <c r="C71"/>
  <c r="D71" s="1"/>
  <c r="B72"/>
  <c r="F70"/>
  <c r="E70"/>
  <c r="H60" i="2"/>
  <c r="K61"/>
  <c r="J61"/>
  <c r="L61"/>
  <c r="M61" s="1"/>
  <c r="E71" i="9" l="1"/>
  <c r="F71"/>
  <c r="M70"/>
  <c r="H70"/>
  <c r="B73"/>
  <c r="C72"/>
  <c r="D72" s="1"/>
  <c r="L71"/>
  <c r="J71"/>
  <c r="I72"/>
  <c r="K71"/>
  <c r="K62" i="2"/>
  <c r="J62"/>
  <c r="L62"/>
  <c r="M62" s="1"/>
  <c r="H61"/>
  <c r="E72" i="9" l="1"/>
  <c r="F72"/>
  <c r="I73"/>
  <c r="L72"/>
  <c r="J72"/>
  <c r="K72"/>
  <c r="H71"/>
  <c r="M71"/>
  <c r="B74"/>
  <c r="C73"/>
  <c r="D73" s="1"/>
  <c r="J63" i="2"/>
  <c r="K63"/>
  <c r="L63"/>
  <c r="M63" s="1"/>
  <c r="H62"/>
  <c r="F73" i="9" l="1"/>
  <c r="E73"/>
  <c r="B75"/>
  <c r="C74"/>
  <c r="D74" s="1"/>
  <c r="K73"/>
  <c r="I74"/>
  <c r="L73"/>
  <c r="J73"/>
  <c r="H72"/>
  <c r="M72"/>
  <c r="K64" i="2"/>
  <c r="J64"/>
  <c r="L64"/>
  <c r="M64" s="1"/>
  <c r="H63"/>
  <c r="I75" i="9" l="1"/>
  <c r="L74"/>
  <c r="J74"/>
  <c r="K74"/>
  <c r="M73"/>
  <c r="H73"/>
  <c r="B76"/>
  <c r="C75"/>
  <c r="D75" s="1"/>
  <c r="E74"/>
  <c r="F74"/>
  <c r="J65" i="2"/>
  <c r="K65"/>
  <c r="L65"/>
  <c r="M65" s="1"/>
  <c r="H64"/>
  <c r="F75" i="9" l="1"/>
  <c r="E75"/>
  <c r="B77"/>
  <c r="C76"/>
  <c r="D76" s="1"/>
  <c r="K75"/>
  <c r="I76"/>
  <c r="L75"/>
  <c r="J75"/>
  <c r="H74"/>
  <c r="M74"/>
  <c r="J66" i="2"/>
  <c r="K66"/>
  <c r="L66"/>
  <c r="M66" s="1"/>
  <c r="H65"/>
  <c r="I77" i="9" l="1"/>
  <c r="L76"/>
  <c r="J76"/>
  <c r="K76"/>
  <c r="M75"/>
  <c r="H75"/>
  <c r="B78"/>
  <c r="C77"/>
  <c r="D77" s="1"/>
  <c r="E76"/>
  <c r="F76"/>
  <c r="L67" i="2"/>
  <c r="M67" s="1"/>
  <c r="J67"/>
  <c r="K67"/>
  <c r="H66"/>
  <c r="B79" i="9" l="1"/>
  <c r="C78"/>
  <c r="D78" s="1"/>
  <c r="I78"/>
  <c r="K77"/>
  <c r="L77"/>
  <c r="J77"/>
  <c r="F77"/>
  <c r="E77"/>
  <c r="H76"/>
  <c r="M76"/>
  <c r="J68" i="2"/>
  <c r="L68"/>
  <c r="M68" s="1"/>
  <c r="K68"/>
  <c r="H67"/>
  <c r="M77" i="9" l="1"/>
  <c r="H77"/>
  <c r="K78"/>
  <c r="I79"/>
  <c r="L78"/>
  <c r="J78"/>
  <c r="B80"/>
  <c r="C79"/>
  <c r="D79" s="1"/>
  <c r="F78"/>
  <c r="E78"/>
  <c r="L69" i="2"/>
  <c r="M69" s="1"/>
  <c r="K69"/>
  <c r="J69"/>
  <c r="H68"/>
  <c r="E79" i="9" l="1"/>
  <c r="F79"/>
  <c r="B81"/>
  <c r="C80"/>
  <c r="D80" s="1"/>
  <c r="M78"/>
  <c r="H78"/>
  <c r="I80"/>
  <c r="L79"/>
  <c r="J79"/>
  <c r="K79"/>
  <c r="H69" i="2"/>
  <c r="L70"/>
  <c r="M70" s="1"/>
  <c r="J70"/>
  <c r="K70"/>
  <c r="H79" i="9" l="1"/>
  <c r="M79"/>
  <c r="K80"/>
  <c r="I81"/>
  <c r="L80"/>
  <c r="J80"/>
  <c r="B82"/>
  <c r="C81"/>
  <c r="D81" s="1"/>
  <c r="F80"/>
  <c r="E80"/>
  <c r="K71" i="2"/>
  <c r="J71"/>
  <c r="L71"/>
  <c r="M71" s="1"/>
  <c r="H70"/>
  <c r="I82" i="9" l="1"/>
  <c r="L81"/>
  <c r="J81"/>
  <c r="K81"/>
  <c r="B83"/>
  <c r="C82"/>
  <c r="D82" s="1"/>
  <c r="M80"/>
  <c r="H80"/>
  <c r="E81"/>
  <c r="F81"/>
  <c r="L72" i="2"/>
  <c r="M72" s="1"/>
  <c r="K72"/>
  <c r="J72"/>
  <c r="H71"/>
  <c r="B84" i="9" l="1"/>
  <c r="C83"/>
  <c r="D83" s="1"/>
  <c r="K82"/>
  <c r="I83"/>
  <c r="L82"/>
  <c r="J82"/>
  <c r="F82"/>
  <c r="E82"/>
  <c r="H81"/>
  <c r="M81"/>
  <c r="H72" i="2"/>
  <c r="K73"/>
  <c r="J73"/>
  <c r="L73"/>
  <c r="M73" s="1"/>
  <c r="I84" i="9" l="1"/>
  <c r="L83"/>
  <c r="J83"/>
  <c r="K83"/>
  <c r="M82"/>
  <c r="H82"/>
  <c r="B85"/>
  <c r="C84"/>
  <c r="D84" s="1"/>
  <c r="E83"/>
  <c r="F83"/>
  <c r="H73" i="2"/>
  <c r="L74"/>
  <c r="M74" s="1"/>
  <c r="J74"/>
  <c r="K74"/>
  <c r="F84" i="9" l="1"/>
  <c r="E84"/>
  <c r="B86"/>
  <c r="C85"/>
  <c r="D85" s="1"/>
  <c r="K84"/>
  <c r="I85"/>
  <c r="L84"/>
  <c r="J84"/>
  <c r="H83"/>
  <c r="M83"/>
  <c r="K75" i="2"/>
  <c r="L75"/>
  <c r="M75" s="1"/>
  <c r="J75"/>
  <c r="H74"/>
  <c r="M84" i="9" l="1"/>
  <c r="H84"/>
  <c r="C86"/>
  <c r="D86" s="1"/>
  <c r="B87"/>
  <c r="I86"/>
  <c r="L85"/>
  <c r="J85"/>
  <c r="K85"/>
  <c r="E85"/>
  <c r="F85"/>
  <c r="H75" i="2"/>
  <c r="J76"/>
  <c r="K76"/>
  <c r="L76"/>
  <c r="M76" s="1"/>
  <c r="K86" i="9" l="1"/>
  <c r="I87"/>
  <c r="L86"/>
  <c r="J86"/>
  <c r="F86"/>
  <c r="E86"/>
  <c r="H85"/>
  <c r="M85"/>
  <c r="B88"/>
  <c r="C87"/>
  <c r="D87" s="1"/>
  <c r="H76" i="2"/>
  <c r="L77"/>
  <c r="M77" s="1"/>
  <c r="J77"/>
  <c r="K77"/>
  <c r="B89" i="9" l="1"/>
  <c r="C88"/>
  <c r="D88" s="1"/>
  <c r="M86"/>
  <c r="H86"/>
  <c r="E87"/>
  <c r="F87"/>
  <c r="I88"/>
  <c r="L87"/>
  <c r="J87"/>
  <c r="K87"/>
  <c r="L78" i="2"/>
  <c r="M78" s="1"/>
  <c r="K78"/>
  <c r="J78"/>
  <c r="H77"/>
  <c r="H87" i="9" l="1"/>
  <c r="M87"/>
  <c r="K88"/>
  <c r="J88"/>
  <c r="I89"/>
  <c r="L88"/>
  <c r="B90"/>
  <c r="C89"/>
  <c r="D89" s="1"/>
  <c r="F88"/>
  <c r="E88"/>
  <c r="H78" i="2"/>
  <c r="L79"/>
  <c r="M79" s="1"/>
  <c r="K79"/>
  <c r="J79"/>
  <c r="C90" i="9" l="1"/>
  <c r="D90" s="1"/>
  <c r="B91"/>
  <c r="I90"/>
  <c r="L89"/>
  <c r="J89"/>
  <c r="K89"/>
  <c r="E89"/>
  <c r="F89"/>
  <c r="M88"/>
  <c r="H88"/>
  <c r="H79" i="2"/>
  <c r="K80"/>
  <c r="J80"/>
  <c r="L80"/>
  <c r="M80" s="1"/>
  <c r="K90" i="9" l="1"/>
  <c r="I91"/>
  <c r="L90"/>
  <c r="J90"/>
  <c r="F90"/>
  <c r="E90"/>
  <c r="H89"/>
  <c r="M89"/>
  <c r="B92"/>
  <c r="C91"/>
  <c r="D91" s="1"/>
  <c r="K81" i="2"/>
  <c r="L81"/>
  <c r="M81" s="1"/>
  <c r="J81"/>
  <c r="H80"/>
  <c r="B93" i="9" l="1"/>
  <c r="C92"/>
  <c r="D92" s="1"/>
  <c r="M90"/>
  <c r="H90"/>
  <c r="E91"/>
  <c r="F91"/>
  <c r="I92"/>
  <c r="L91"/>
  <c r="J91"/>
  <c r="K91"/>
  <c r="K82" i="2"/>
  <c r="J82"/>
  <c r="L82"/>
  <c r="M82" s="1"/>
  <c r="H81"/>
  <c r="K92" i="9" l="1"/>
  <c r="I93"/>
  <c r="J92"/>
  <c r="L92"/>
  <c r="B94"/>
  <c r="C93"/>
  <c r="D93" s="1"/>
  <c r="H91"/>
  <c r="M91"/>
  <c r="F92"/>
  <c r="E92"/>
  <c r="J83" i="2"/>
  <c r="K83"/>
  <c r="L83"/>
  <c r="M83" s="1"/>
  <c r="H82"/>
  <c r="B95" i="9" l="1"/>
  <c r="C94"/>
  <c r="D94" s="1"/>
  <c r="E93"/>
  <c r="F93"/>
  <c r="M92"/>
  <c r="H92"/>
  <c r="I94"/>
  <c r="L93"/>
  <c r="J93"/>
  <c r="K93"/>
  <c r="J84" i="2"/>
  <c r="L84"/>
  <c r="M84" s="1"/>
  <c r="K84"/>
  <c r="H83"/>
  <c r="K94" i="9" l="1"/>
  <c r="I95"/>
  <c r="L94"/>
  <c r="J94"/>
  <c r="B96"/>
  <c r="C95"/>
  <c r="D95" s="1"/>
  <c r="H93"/>
  <c r="M93"/>
  <c r="F94"/>
  <c r="E94"/>
  <c r="H84" i="2"/>
  <c r="J85"/>
  <c r="K85"/>
  <c r="L85"/>
  <c r="M85" s="1"/>
  <c r="B97" i="9" l="1"/>
  <c r="C96"/>
  <c r="D96" s="1"/>
  <c r="M94"/>
  <c r="H94"/>
  <c r="E95"/>
  <c r="F95"/>
  <c r="I96"/>
  <c r="L95"/>
  <c r="J95"/>
  <c r="K95"/>
  <c r="H85" i="2"/>
  <c r="K86"/>
  <c r="L86"/>
  <c r="M86" s="1"/>
  <c r="J86"/>
  <c r="H95" i="9" l="1"/>
  <c r="M95"/>
  <c r="K96"/>
  <c r="I97"/>
  <c r="L96"/>
  <c r="J96"/>
  <c r="B98"/>
  <c r="C97"/>
  <c r="D97" s="1"/>
  <c r="F96"/>
  <c r="E96"/>
  <c r="K87" i="2"/>
  <c r="L87"/>
  <c r="M87" s="1"/>
  <c r="J87"/>
  <c r="H86"/>
  <c r="B99" i="9" l="1"/>
  <c r="C98"/>
  <c r="D98" s="1"/>
  <c r="M96"/>
  <c r="H96"/>
  <c r="E97"/>
  <c r="F97"/>
  <c r="I98"/>
  <c r="L97"/>
  <c r="J97"/>
  <c r="K97"/>
  <c r="H87" i="2"/>
  <c r="K88"/>
  <c r="L88"/>
  <c r="M88" s="1"/>
  <c r="J88"/>
  <c r="H97" i="9" l="1"/>
  <c r="M97"/>
  <c r="K98"/>
  <c r="I99"/>
  <c r="L98"/>
  <c r="J98"/>
  <c r="B100"/>
  <c r="C99"/>
  <c r="D99" s="1"/>
  <c r="F98"/>
  <c r="E98"/>
  <c r="J89" i="2"/>
  <c r="K89"/>
  <c r="L89"/>
  <c r="M89" s="1"/>
  <c r="H88"/>
  <c r="B101" i="9" l="1"/>
  <c r="C100"/>
  <c r="D100" s="1"/>
  <c r="M98"/>
  <c r="H98"/>
  <c r="E99"/>
  <c r="F99"/>
  <c r="I100"/>
  <c r="L99"/>
  <c r="J99"/>
  <c r="K99"/>
  <c r="H89" i="2"/>
  <c r="K90"/>
  <c r="L90"/>
  <c r="M90" s="1"/>
  <c r="J90"/>
  <c r="H99" i="9" l="1"/>
  <c r="M99"/>
  <c r="K100"/>
  <c r="I101"/>
  <c r="L100"/>
  <c r="J100"/>
  <c r="B102"/>
  <c r="C101"/>
  <c r="D101" s="1"/>
  <c r="F100"/>
  <c r="E100"/>
  <c r="K91" i="2"/>
  <c r="J91"/>
  <c r="L91"/>
  <c r="M91" s="1"/>
  <c r="H90"/>
  <c r="B103" i="9" l="1"/>
  <c r="C102"/>
  <c r="D102" s="1"/>
  <c r="M100"/>
  <c r="H100"/>
  <c r="E101"/>
  <c r="F101"/>
  <c r="I102"/>
  <c r="L101"/>
  <c r="J101"/>
  <c r="K101"/>
  <c r="K92" i="2"/>
  <c r="J92"/>
  <c r="L92"/>
  <c r="M92" s="1"/>
  <c r="H91"/>
  <c r="K102" i="9" l="1"/>
  <c r="I103"/>
  <c r="L102"/>
  <c r="J102"/>
  <c r="B104"/>
  <c r="C103"/>
  <c r="D103" s="1"/>
  <c r="H101"/>
  <c r="M101"/>
  <c r="F102"/>
  <c r="E102"/>
  <c r="H92" i="2"/>
  <c r="J93"/>
  <c r="K93"/>
  <c r="L93"/>
  <c r="M93" s="1"/>
  <c r="B105" i="9" l="1"/>
  <c r="C104"/>
  <c r="D104" s="1"/>
  <c r="M102"/>
  <c r="H102"/>
  <c r="E103"/>
  <c r="F103"/>
  <c r="I104"/>
  <c r="L103"/>
  <c r="J103"/>
  <c r="K103"/>
  <c r="H93" i="2"/>
  <c r="L94"/>
  <c r="M94" s="1"/>
  <c r="K94"/>
  <c r="J94"/>
  <c r="H103" i="9" l="1"/>
  <c r="M103"/>
  <c r="K104"/>
  <c r="I105"/>
  <c r="L104"/>
  <c r="J104"/>
  <c r="B106"/>
  <c r="C105"/>
  <c r="D105" s="1"/>
  <c r="F104"/>
  <c r="E104"/>
  <c r="K95" i="2"/>
  <c r="L95"/>
  <c r="M95" s="1"/>
  <c r="J95"/>
  <c r="H94"/>
  <c r="B107" i="9" l="1"/>
  <c r="C106"/>
  <c r="D106" s="1"/>
  <c r="M104"/>
  <c r="H104"/>
  <c r="E105"/>
  <c r="F105"/>
  <c r="I106"/>
  <c r="L105"/>
  <c r="J105"/>
  <c r="K105"/>
  <c r="H95" i="2"/>
  <c r="L96"/>
  <c r="M96" s="1"/>
  <c r="K96"/>
  <c r="J96"/>
  <c r="H105" i="9" l="1"/>
  <c r="M105"/>
  <c r="K106"/>
  <c r="I107"/>
  <c r="L106"/>
  <c r="J106"/>
  <c r="B108"/>
  <c r="C107"/>
  <c r="D107" s="1"/>
  <c r="F106"/>
  <c r="E106"/>
  <c r="L97" i="2"/>
  <c r="M97" s="1"/>
  <c r="J97"/>
  <c r="K97"/>
  <c r="H96"/>
  <c r="B109" i="9" l="1"/>
  <c r="C108"/>
  <c r="D108" s="1"/>
  <c r="M106"/>
  <c r="H106"/>
  <c r="E107"/>
  <c r="F107"/>
  <c r="I108"/>
  <c r="L107"/>
  <c r="J107"/>
  <c r="K107"/>
  <c r="H97" i="2"/>
  <c r="K98"/>
  <c r="L98"/>
  <c r="M98" s="1"/>
  <c r="J98"/>
  <c r="H107" i="9" l="1"/>
  <c r="M107"/>
  <c r="K108"/>
  <c r="I109"/>
  <c r="L108"/>
  <c r="J108"/>
  <c r="B110"/>
  <c r="C109"/>
  <c r="D109" s="1"/>
  <c r="F108"/>
  <c r="E108"/>
  <c r="L99" i="2"/>
  <c r="M99" s="1"/>
  <c r="K99"/>
  <c r="J99"/>
  <c r="H98"/>
  <c r="B111" i="9" l="1"/>
  <c r="C110"/>
  <c r="D110" s="1"/>
  <c r="M108"/>
  <c r="H108"/>
  <c r="E109"/>
  <c r="F109"/>
  <c r="I110"/>
  <c r="L109"/>
  <c r="J109"/>
  <c r="K109"/>
  <c r="J100" i="2"/>
  <c r="K100"/>
  <c r="L100"/>
  <c r="M100" s="1"/>
  <c r="H99"/>
  <c r="K110" i="9" l="1"/>
  <c r="I111"/>
  <c r="L110"/>
  <c r="J110"/>
  <c r="B112"/>
  <c r="C111"/>
  <c r="D111" s="1"/>
  <c r="H109"/>
  <c r="M109"/>
  <c r="F110"/>
  <c r="E110"/>
  <c r="J101" i="2"/>
  <c r="K101"/>
  <c r="L101"/>
  <c r="M101" s="1"/>
  <c r="H100"/>
  <c r="B113" i="9" l="1"/>
  <c r="C112"/>
  <c r="D112" s="1"/>
  <c r="M110"/>
  <c r="H110"/>
  <c r="E111"/>
  <c r="F111"/>
  <c r="I112"/>
  <c r="L111"/>
  <c r="J111"/>
  <c r="K111"/>
  <c r="H101" i="2"/>
  <c r="K102"/>
  <c r="L102"/>
  <c r="M102" s="1"/>
  <c r="J102"/>
  <c r="K112" i="9" l="1"/>
  <c r="L112"/>
  <c r="J112"/>
  <c r="B114"/>
  <c r="C113"/>
  <c r="D113" s="1"/>
  <c r="H111"/>
  <c r="M111"/>
  <c r="F112"/>
  <c r="E112"/>
  <c r="L103" i="2"/>
  <c r="M103" s="1"/>
  <c r="K103"/>
  <c r="J103"/>
  <c r="H102"/>
  <c r="E113" i="9" l="1"/>
  <c r="F113"/>
  <c r="B115"/>
  <c r="C114"/>
  <c r="D114" s="1"/>
  <c r="M112"/>
  <c r="H112"/>
  <c r="H103" i="2"/>
  <c r="K104"/>
  <c r="L104"/>
  <c r="M104" s="1"/>
  <c r="J104"/>
  <c r="F114" i="9" l="1"/>
  <c r="E114"/>
  <c r="B116"/>
  <c r="C115"/>
  <c r="D115" s="1"/>
  <c r="L105" i="2"/>
  <c r="M105" s="1"/>
  <c r="K105"/>
  <c r="J105"/>
  <c r="H104"/>
  <c r="E115" i="9" l="1"/>
  <c r="F115"/>
  <c r="B117"/>
  <c r="C116"/>
  <c r="D116" s="1"/>
  <c r="H105" i="2"/>
  <c r="J106"/>
  <c r="K106"/>
  <c r="L106"/>
  <c r="M106" s="1"/>
  <c r="F116" i="9" l="1"/>
  <c r="E116"/>
  <c r="B118"/>
  <c r="C117"/>
  <c r="D117" s="1"/>
  <c r="H106" i="2"/>
  <c r="K107"/>
  <c r="J107"/>
  <c r="L107"/>
  <c r="M107" s="1"/>
  <c r="E117" i="9" l="1"/>
  <c r="F117"/>
  <c r="B119"/>
  <c r="C118"/>
  <c r="D118" s="1"/>
  <c r="H107" i="2"/>
  <c r="J108"/>
  <c r="L108"/>
  <c r="M108" s="1"/>
  <c r="K108"/>
  <c r="F118" i="9" l="1"/>
  <c r="E118"/>
  <c r="B120"/>
  <c r="C119"/>
  <c r="D119" s="1"/>
  <c r="K109" i="2"/>
  <c r="J109"/>
  <c r="L109"/>
  <c r="M109" s="1"/>
  <c r="H108"/>
  <c r="E119" i="9" l="1"/>
  <c r="F119"/>
  <c r="B121"/>
  <c r="C120"/>
  <c r="D120" s="1"/>
  <c r="K110" i="2"/>
  <c r="J110"/>
  <c r="L110"/>
  <c r="M110" s="1"/>
  <c r="H109"/>
  <c r="F120" i="9" l="1"/>
  <c r="E120"/>
  <c r="B122"/>
  <c r="C121"/>
  <c r="D121" s="1"/>
  <c r="L112" i="2"/>
  <c r="M112" s="1"/>
  <c r="J112"/>
  <c r="K112"/>
  <c r="H110"/>
  <c r="K111"/>
  <c r="L111"/>
  <c r="M111" s="1"/>
  <c r="J111"/>
  <c r="B123" i="9" l="1"/>
  <c r="C122"/>
  <c r="D122" s="1"/>
  <c r="E121"/>
  <c r="F121"/>
  <c r="H112" i="2"/>
  <c r="H111"/>
  <c r="B124" i="9" l="1"/>
  <c r="C123"/>
  <c r="D123" s="1"/>
  <c r="F122"/>
  <c r="E122"/>
  <c r="B125" l="1"/>
  <c r="C124"/>
  <c r="D124" s="1"/>
  <c r="E123"/>
  <c r="F123"/>
  <c r="B126" l="1"/>
  <c r="C125"/>
  <c r="D125" s="1"/>
  <c r="F124"/>
  <c r="E124"/>
  <c r="B127" l="1"/>
  <c r="C126"/>
  <c r="D126" s="1"/>
  <c r="E125"/>
  <c r="F125"/>
  <c r="B128" l="1"/>
  <c r="C127"/>
  <c r="D127" s="1"/>
  <c r="F126"/>
  <c r="E126"/>
  <c r="B129" l="1"/>
  <c r="C128"/>
  <c r="D128" s="1"/>
  <c r="E127"/>
  <c r="F127"/>
  <c r="B130" l="1"/>
  <c r="C129"/>
  <c r="D129" s="1"/>
  <c r="F128"/>
  <c r="E128"/>
  <c r="B131" l="1"/>
  <c r="C130"/>
  <c r="D130" s="1"/>
  <c r="E129"/>
  <c r="F129"/>
  <c r="B132" l="1"/>
  <c r="C131"/>
  <c r="D131" s="1"/>
  <c r="F130"/>
  <c r="E130"/>
  <c r="B133" l="1"/>
  <c r="C132"/>
  <c r="D132" s="1"/>
  <c r="E131"/>
  <c r="F131"/>
  <c r="B134" l="1"/>
  <c r="C133"/>
  <c r="D133" s="1"/>
  <c r="F132"/>
  <c r="E132"/>
  <c r="B135" l="1"/>
  <c r="C134"/>
  <c r="D134" s="1"/>
  <c r="E133"/>
  <c r="F133"/>
  <c r="B136" l="1"/>
  <c r="C135"/>
  <c r="D135" s="1"/>
  <c r="F134"/>
  <c r="E134"/>
  <c r="B137" l="1"/>
  <c r="C136"/>
  <c r="D136" s="1"/>
  <c r="E135"/>
  <c r="F135"/>
  <c r="B138" l="1"/>
  <c r="C137"/>
  <c r="D137" s="1"/>
  <c r="F136"/>
  <c r="E136"/>
  <c r="B139" l="1"/>
  <c r="C138"/>
  <c r="D138" s="1"/>
  <c r="E137"/>
  <c r="F137"/>
  <c r="B140" l="1"/>
  <c r="C139"/>
  <c r="D139" s="1"/>
  <c r="F138"/>
  <c r="E138"/>
  <c r="B141" l="1"/>
  <c r="C140"/>
  <c r="D140" s="1"/>
  <c r="E139"/>
  <c r="F139"/>
  <c r="B142" l="1"/>
  <c r="C141"/>
  <c r="D141" s="1"/>
  <c r="F140"/>
  <c r="E140"/>
  <c r="B143" l="1"/>
  <c r="C142"/>
  <c r="D142" s="1"/>
  <c r="E141"/>
  <c r="F141"/>
  <c r="B144" l="1"/>
  <c r="C143"/>
  <c r="D143" s="1"/>
  <c r="F142"/>
  <c r="E142"/>
  <c r="B145" l="1"/>
  <c r="C144"/>
  <c r="D144" s="1"/>
  <c r="E143"/>
  <c r="F143"/>
  <c r="B146" l="1"/>
  <c r="C145"/>
  <c r="D145" s="1"/>
  <c r="F144"/>
  <c r="E144"/>
  <c r="B147" l="1"/>
  <c r="C146"/>
  <c r="D146" s="1"/>
  <c r="E145"/>
  <c r="F145"/>
  <c r="B148" l="1"/>
  <c r="C147"/>
  <c r="D147" s="1"/>
  <c r="F146"/>
  <c r="E146"/>
  <c r="B149" l="1"/>
  <c r="C148"/>
  <c r="D148" s="1"/>
  <c r="E147"/>
  <c r="F147"/>
  <c r="B150" l="1"/>
  <c r="C149"/>
  <c r="D149" s="1"/>
  <c r="F148"/>
  <c r="E148"/>
  <c r="B151" l="1"/>
  <c r="C150"/>
  <c r="D150" s="1"/>
  <c r="E149"/>
  <c r="F149"/>
  <c r="B152" l="1"/>
  <c r="C151"/>
  <c r="D151" s="1"/>
  <c r="F150"/>
  <c r="E150"/>
  <c r="B153" l="1"/>
  <c r="C152"/>
  <c r="D152" s="1"/>
  <c r="E151"/>
  <c r="F151"/>
  <c r="B154" l="1"/>
  <c r="C153"/>
  <c r="D153" s="1"/>
  <c r="F152"/>
  <c r="E152"/>
  <c r="B155" l="1"/>
  <c r="C155" s="1"/>
  <c r="D155" s="1"/>
  <c r="C154"/>
  <c r="D154" s="1"/>
  <c r="E153"/>
  <c r="F153"/>
  <c r="E155" l="1"/>
  <c r="F155"/>
  <c r="F154"/>
  <c r="E154"/>
</calcChain>
</file>

<file path=xl/sharedStrings.xml><?xml version="1.0" encoding="utf-8"?>
<sst xmlns="http://schemas.openxmlformats.org/spreadsheetml/2006/main" count="390" uniqueCount="163">
  <si>
    <t>W/m-2 / .01 albedo change</t>
  </si>
  <si>
    <t>Gigatons of CO2  emissions per PPM of atmospheric CO2 (airborne fraction = 45%)</t>
  </si>
  <si>
    <t>Effective Radiative Forcing (W/m-2)</t>
  </si>
  <si>
    <t>Equiv. CO2e PPM</t>
  </si>
  <si>
    <t>Equiv CO2 Em. (GTCO2)</t>
  </si>
  <si>
    <t>Percent Cloud Cover</t>
  </si>
  <si>
    <t>Climate Sensitivity</t>
  </si>
  <si>
    <t>Yearly Albedo Decrease</t>
  </si>
  <si>
    <t>Current PPM</t>
  </si>
  <si>
    <t>Radiative Forcing for 403 PPM</t>
  </si>
  <si>
    <t>Prehistoric CO2 atmpospheric PPM</t>
  </si>
  <si>
    <t>Annual Emissions (GTCO2)</t>
  </si>
  <si>
    <t>Temp Increase (°C)</t>
  </si>
  <si>
    <r>
      <t>Temp Increase (2015-2100)  (</t>
    </r>
    <r>
      <rPr>
        <b/>
        <sz val="11"/>
        <color theme="1"/>
        <rFont val="Calibri"/>
        <family val="2"/>
      </rPr>
      <t>°C)</t>
    </r>
  </si>
  <si>
    <t>CO2 PPM Per Decade (GTCO2)</t>
  </si>
  <si>
    <t>CO2 PPM  (2015-2100) (GTCO2)</t>
  </si>
  <si>
    <t>Expected Temperature Increase Due to Changes in Either the Earth’s Albedo or CO2 Emissions</t>
  </si>
  <si>
    <r>
      <t>Temperature increase from pre-industrial times to the end of 2015</t>
    </r>
    <r>
      <rPr>
        <vertAlign val="superscript"/>
        <sz val="11"/>
        <color theme="1"/>
        <rFont val="Calibri"/>
        <family val="2"/>
      </rPr>
      <t xml:space="preserve"> </t>
    </r>
    <r>
      <rPr>
        <sz val="11"/>
        <color theme="1"/>
        <rFont val="Calibri"/>
        <family val="2"/>
      </rPr>
      <t>(see Figure 1)</t>
    </r>
  </si>
  <si>
    <r>
      <t xml:space="preserve">Eventual temperature increase when coal is no longer burned in coal-fired power plants </t>
    </r>
    <r>
      <rPr>
        <vertAlign val="superscript"/>
        <sz val="11"/>
        <color theme="1"/>
        <rFont val="Calibri"/>
        <family val="2"/>
      </rPr>
      <t>1</t>
    </r>
  </si>
  <si>
    <r>
      <t>Eventual temperature increase from the current energy imbalance of .7 W/m</t>
    </r>
    <r>
      <rPr>
        <vertAlign val="superscript"/>
        <sz val="11"/>
        <color theme="1"/>
        <rFont val="Calibri"/>
        <family val="2"/>
      </rPr>
      <t xml:space="preserve">2 </t>
    </r>
    <r>
      <rPr>
        <sz val="11"/>
        <color theme="1"/>
        <rFont val="Calibri"/>
        <family val="2"/>
      </rPr>
      <t>(see Figure 2)</t>
    </r>
  </si>
  <si>
    <t>Temperature increase in 2100 due to changes in the Arctic (reduction of sea ice and snow cover; emissions from permafrost and peat) (see “Feedback Factors” below)</t>
  </si>
  <si>
    <r>
      <t>Eventual temperature increase from  CO2 added to the atmosphere after 2015 by human activities (net emissions peak in 2025 and are reduced to zero in 2058, with no carbon capture and sequestration)</t>
    </r>
    <r>
      <rPr>
        <vertAlign val="superscript"/>
        <sz val="11"/>
        <color theme="1"/>
        <rFont val="Calibri"/>
        <family val="2"/>
      </rPr>
      <t>2</t>
    </r>
  </si>
  <si>
    <r>
      <t>Eventual temperature increase from other GHG emissions added to the atmosphere by human activities</t>
    </r>
    <r>
      <rPr>
        <vertAlign val="superscript"/>
        <sz val="11"/>
        <color theme="1"/>
        <rFont val="Calibri"/>
        <family val="2"/>
      </rPr>
      <t>3</t>
    </r>
  </si>
  <si>
    <t>Reduction in temperature due to a reduction of methane (RCP2.6 – likely will not happen since methane will be released by a warming Arctic)</t>
  </si>
  <si>
    <t>Total increase in temperature through 2100 for aggressive CO2 reduction efforts</t>
  </si>
  <si>
    <t>Percent of 2100 in 2060</t>
  </si>
  <si>
    <t>2015 Temp</t>
  </si>
  <si>
    <t>No Coal</t>
  </si>
  <si>
    <t>Energy Imbalance</t>
  </si>
  <si>
    <t>Feedbacks</t>
  </si>
  <si>
    <t>CO2</t>
  </si>
  <si>
    <t>GHGs</t>
  </si>
  <si>
    <t>Methane</t>
  </si>
  <si>
    <t>Total</t>
  </si>
  <si>
    <t>Percent GHG Seqestered</t>
  </si>
  <si>
    <t>Percent CO2 Seqestered</t>
  </si>
  <si>
    <t>Energy Imbalance in 2060</t>
  </si>
  <si>
    <t>Total in 2060</t>
  </si>
  <si>
    <t>Feedbacks after 2060</t>
  </si>
  <si>
    <t>Total in 2100</t>
  </si>
  <si>
    <t>No sequestration</t>
  </si>
  <si>
    <t>50% sequestration</t>
  </si>
  <si>
    <t>Heating up quickly so energy imbalance increases by 2060</t>
  </si>
  <si>
    <t>Assume 40% before 2060 and 60% afterwards</t>
  </si>
  <si>
    <t>No change from RCP 2.6 and all benefits before 2060</t>
  </si>
  <si>
    <t>Unchanged from current level</t>
  </si>
  <si>
    <t>Lower amount than above because of sequestration</t>
  </si>
  <si>
    <t>Sequester one half of emissions</t>
  </si>
  <si>
    <t>CCS Sequestration Costs/ton CO2</t>
  </si>
  <si>
    <t>GHG Emissions 2015-2060</t>
  </si>
  <si>
    <t>Sequestration Costs (T$)</t>
  </si>
  <si>
    <t>Percent of 2100 after 2060</t>
  </si>
  <si>
    <t>No sequestration - 1/2 expected feedbacks</t>
  </si>
  <si>
    <t>50% sequestration - 1/4 expected feedbacks</t>
  </si>
  <si>
    <t>Year</t>
  </si>
  <si>
    <t>N</t>
  </si>
  <si>
    <t>http://www.wolframalpha.com/input/?i=interpolating+polynomial</t>
  </si>
  <si>
    <t>interpolating polynomial {1.5,400},{2,1000},{3,2400}</t>
  </si>
  <si>
    <t>A</t>
  </si>
  <si>
    <t>B</t>
  </si>
  <si>
    <t>C</t>
  </si>
  <si>
    <t>Emissons = 133.333XxX + 733.333X - 1000</t>
  </si>
  <si>
    <t>interpolating polynomial {400,1.5},{1000,2},{2400,3}</t>
  </si>
  <si>
    <t>Temperature increase = -5.95238x10-8XxX + .000916667X + 1.14286</t>
  </si>
  <si>
    <t>ERF Change Since 1750</t>
  </si>
  <si>
    <t xml:space="preserve"> RCP2.6</t>
  </si>
  <si>
    <t>CH4</t>
  </si>
  <si>
    <t>N20</t>
  </si>
  <si>
    <t>Halocarbons</t>
  </si>
  <si>
    <t>Greenhouse Gases</t>
  </si>
  <si>
    <t>Statospheric</t>
  </si>
  <si>
    <t>Tropospheric</t>
  </si>
  <si>
    <t>Ozone</t>
  </si>
  <si>
    <t>Strato. H20</t>
  </si>
  <si>
    <t>Land Use</t>
  </si>
  <si>
    <t xml:space="preserve">Black Carbon </t>
  </si>
  <si>
    <t>Albedo</t>
  </si>
  <si>
    <t>Contrails</t>
  </si>
  <si>
    <t>Radiation Inter.</t>
  </si>
  <si>
    <t>Cloud Inter</t>
  </si>
  <si>
    <t>Aerosols</t>
  </si>
  <si>
    <t>Total Anthropogenic</t>
  </si>
  <si>
    <t>Solar Radiance</t>
  </si>
  <si>
    <t>Total IPCC</t>
  </si>
  <si>
    <t xml:space="preserve">GTC emissions in 2010 </t>
  </si>
  <si>
    <t>Annual increase to 2025</t>
  </si>
  <si>
    <t>Annual decrease to 2055</t>
  </si>
  <si>
    <t>Total emissions through 2055</t>
  </si>
  <si>
    <t>Equil. Temp Increase</t>
  </si>
  <si>
    <t>Atmosphere</t>
  </si>
  <si>
    <t>Ocean</t>
  </si>
  <si>
    <t>Land</t>
  </si>
  <si>
    <t>Fossil Fuels</t>
  </si>
  <si>
    <t>Anthropogenic</t>
  </si>
  <si>
    <t>2010d</t>
  </si>
  <si>
    <t>2020d</t>
  </si>
  <si>
    <t>2030d</t>
  </si>
  <si>
    <t>2040d</t>
  </si>
  <si>
    <t>2050d</t>
  </si>
  <si>
    <t>2060d</t>
  </si>
  <si>
    <t>2070d</t>
  </si>
  <si>
    <t>2080d</t>
  </si>
  <si>
    <t>2090d</t>
  </si>
  <si>
    <t>2100d</t>
  </si>
  <si>
    <t>Anthropogenic CO2 emissions from fossil fuels and other industrial sources (FF) (PgC yr–1)</t>
  </si>
  <si>
    <t>Anthropogenic CO2 emissions from agriculture, forestry, land use (AFOLU) (PgC yr–1)</t>
  </si>
  <si>
    <t>Anthropogenic total CO2 emissions (PgC yr–1)</t>
  </si>
  <si>
    <t>Net ocean CO2 emissions (PgC yr–1)</t>
  </si>
  <si>
    <t>Net land (natural and land use) CO2 emissions (PgC yr–1)</t>
  </si>
  <si>
    <t>Methane (Tg yr–1)</t>
  </si>
  <si>
    <t>Anthropogenic N2O emissions (TgN yr–1)</t>
  </si>
  <si>
    <t>Anthropogenic OC aerosols emissions (Tg yr–1)</t>
  </si>
  <si>
    <t>2000d</t>
  </si>
  <si>
    <t>Anthropogenic BC aerosols emissions (Tg yr–1)</t>
  </si>
  <si>
    <t>Other</t>
  </si>
  <si>
    <t>Net Land</t>
  </si>
  <si>
    <t>Net Sinks</t>
  </si>
  <si>
    <t>Fossil Fuel</t>
  </si>
  <si>
    <t>&amp; Cement</t>
  </si>
  <si>
    <t>Land-Use</t>
  </si>
  <si>
    <t>Change</t>
  </si>
  <si>
    <t>9.795 GtC</t>
  </si>
  <si>
    <t>~ 0.9 Gtc</t>
  </si>
  <si>
    <t>9.735 GtC</t>
  </si>
  <si>
    <t>9.575 GtC</t>
  </si>
  <si>
    <t>9.449 GtC</t>
  </si>
  <si>
    <t>9.995 Gtc</t>
  </si>
  <si>
    <t>9.140 GtC</t>
  </si>
  <si>
    <t>0.855 GtC</t>
  </si>
  <si>
    <t>9.567 Gtc</t>
  </si>
  <si>
    <t>8.700 GtC</t>
  </si>
  <si>
    <t>0.867 GtC</t>
  </si>
  <si>
    <t>9.666 Gtc</t>
  </si>
  <si>
    <t>8.740 GtC</t>
  </si>
  <si>
    <t>0.926 GtC</t>
  </si>
  <si>
    <t>9.472 Gtc</t>
  </si>
  <si>
    <t>8.532 GtC</t>
  </si>
  <si>
    <t>0.940 GtC</t>
  </si>
  <si>
    <t>9.355 Gtc</t>
  </si>
  <si>
    <t>8.363 GtC</t>
  </si>
  <si>
    <t>0.992 GtC</t>
  </si>
  <si>
    <t xml:space="preserve">CO2 emissions in 2010 </t>
  </si>
  <si>
    <t>2055 Emissions</t>
  </si>
  <si>
    <t xml:space="preserve">Percent of 2025 emissions </t>
  </si>
  <si>
    <t>Natural Emissions in 2100</t>
  </si>
  <si>
    <t>Due to Radiative forcing of 1.48 from natural emissions</t>
  </si>
  <si>
    <t>Anthropogenic Emissions</t>
  </si>
  <si>
    <t>Annual emissions</t>
  </si>
  <si>
    <t>Emissions to sequester</t>
  </si>
  <si>
    <t>Cost/Ton CO2</t>
  </si>
  <si>
    <t>Mostly DAC</t>
  </si>
  <si>
    <t>Annual Cost (Trillions)</t>
  </si>
  <si>
    <t>From "CLIMATE CHANGE 2013 The Physical Science Basis"</t>
  </si>
  <si>
    <t>Notes</t>
  </si>
  <si>
    <t>Total Emissions 2015-2100</t>
  </si>
  <si>
    <t>Parameters for changes from the current climate (CO2 at 403 PPM)</t>
  </si>
  <si>
    <t xml:space="preserve">Change Since Preindustrial </t>
  </si>
  <si>
    <t>Estimated so that the "Total IPCC" ERF change is 2.6 for 2100</t>
  </si>
  <si>
    <t>Currnent</t>
  </si>
  <si>
    <t>Imbalance</t>
  </si>
  <si>
    <t>t</t>
  </si>
  <si>
    <t>erf</t>
  </si>
  <si>
    <t>reduction of CH4, N2O, and halocarbons</t>
  </si>
</sst>
</file>

<file path=xl/styles.xml><?xml version="1.0" encoding="utf-8"?>
<styleSheet xmlns="http://schemas.openxmlformats.org/spreadsheetml/2006/main">
  <numFmts count="5">
    <numFmt numFmtId="164" formatCode="0.00000"/>
    <numFmt numFmtId="165" formatCode="0.0"/>
    <numFmt numFmtId="166" formatCode="0.000"/>
    <numFmt numFmtId="167" formatCode="&quot;$&quot;#,##0"/>
    <numFmt numFmtId="168" formatCode="m/d/yy;@"/>
  </numFmts>
  <fonts count="15">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b/>
      <sz val="11"/>
      <color indexed="8"/>
      <name val="Calibri"/>
      <family val="2"/>
    </font>
    <font>
      <b/>
      <sz val="11"/>
      <color theme="1"/>
      <name val="Calibri"/>
      <family val="2"/>
    </font>
    <font>
      <sz val="11"/>
      <color theme="1"/>
      <name val="Calibri"/>
      <family val="2"/>
    </font>
    <font>
      <vertAlign val="superscript"/>
      <sz val="11"/>
      <color theme="1"/>
      <name val="Calibri"/>
      <family val="2"/>
    </font>
    <font>
      <sz val="10"/>
      <color rgb="FF000000"/>
      <name val="Arial Unicode MS"/>
      <family val="2"/>
    </font>
    <font>
      <u/>
      <sz val="11"/>
      <color theme="10"/>
      <name val="Calibri"/>
      <family val="2"/>
    </font>
    <font>
      <sz val="11"/>
      <color rgb="FF575757"/>
      <name val="Lucida Sans"/>
      <family val="2"/>
    </font>
    <font>
      <sz val="13"/>
      <color rgb="FFFFFFFF"/>
      <name val="Inherit"/>
    </font>
    <font>
      <b/>
      <sz val="11"/>
      <color rgb="FF3366FF"/>
      <name val="Lucida Sans"/>
      <family val="2"/>
    </font>
    <font>
      <sz val="10"/>
      <color theme="1"/>
      <name val="Calibri"/>
      <family val="2"/>
    </font>
    <font>
      <sz val="10"/>
      <color rgb="FF000000"/>
      <name val="Calibri"/>
      <family val="2"/>
    </font>
  </fonts>
  <fills count="24">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theme="0" tint="-0.14996795556505021"/>
        <bgColor indexed="64"/>
      </patternFill>
    </fill>
    <fill>
      <patternFill patternType="solid">
        <fgColor rgb="FFDAEEF3"/>
        <bgColor indexed="64"/>
      </patternFill>
    </fill>
    <fill>
      <patternFill patternType="solid">
        <fgColor rgb="FFB6DDE8"/>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EEEEEE"/>
        <bgColor indexed="64"/>
      </patternFill>
    </fill>
    <fill>
      <patternFill patternType="solid">
        <fgColor rgb="FF0000FF"/>
        <bgColor indexed="64"/>
      </patternFill>
    </fill>
    <fill>
      <patternFill patternType="solid">
        <fgColor rgb="FFFFFFCC"/>
        <bgColor indexed="64"/>
      </patternFill>
    </fill>
    <fill>
      <patternFill patternType="solid">
        <fgColor theme="0" tint="-4.9989318521683403E-2"/>
        <bgColor indexed="64"/>
      </patternFill>
    </fill>
    <fill>
      <patternFill patternType="gray125">
        <fgColor rgb="FFD9D9D9"/>
        <bgColor rgb="FFD9D9D9"/>
      </patternFill>
    </fill>
  </fills>
  <borders count="21">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auto="1"/>
      </left>
      <right style="thin">
        <color auto="1"/>
      </right>
      <top/>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xf numFmtId="0" fontId="2" fillId="0" borderId="0"/>
    <xf numFmtId="0" fontId="9" fillId="0" borderId="0" applyNumberFormat="0" applyFill="0" applyBorder="0" applyAlignment="0" applyProtection="0">
      <alignment vertical="top"/>
      <protection locked="0"/>
    </xf>
  </cellStyleXfs>
  <cellXfs count="122">
    <xf numFmtId="0" fontId="0" fillId="0" borderId="0" xfId="0"/>
    <xf numFmtId="0" fontId="0" fillId="0" borderId="0" xfId="0" applyAlignment="1">
      <alignment wrapText="1"/>
    </xf>
    <xf numFmtId="2" fontId="0" fillId="0" borderId="1" xfId="0" applyNumberFormat="1" applyBorder="1"/>
    <xf numFmtId="1" fontId="0" fillId="0" borderId="1" xfId="0" applyNumberFormat="1" applyBorder="1"/>
    <xf numFmtId="49" fontId="3" fillId="0" borderId="2" xfId="1" applyNumberFormat="1" applyFont="1" applyFill="1" applyBorder="1" applyAlignment="1"/>
    <xf numFmtId="2" fontId="0" fillId="0" borderId="0" xfId="0" applyNumberFormat="1"/>
    <xf numFmtId="0" fontId="3" fillId="0" borderId="2" xfId="2" applyFont="1" applyFill="1" applyBorder="1" applyAlignment="1">
      <alignment wrapText="1"/>
    </xf>
    <xf numFmtId="166" fontId="0" fillId="0" borderId="0" xfId="0" applyNumberFormat="1"/>
    <xf numFmtId="166" fontId="0" fillId="0" borderId="1" xfId="0" applyNumberFormat="1" applyBorder="1"/>
    <xf numFmtId="0" fontId="3" fillId="0" borderId="0" xfId="1" applyFont="1" applyFill="1" applyBorder="1" applyAlignment="1">
      <alignment wrapText="1"/>
    </xf>
    <xf numFmtId="166" fontId="0" fillId="0" borderId="0" xfId="0" applyNumberFormat="1" applyFill="1"/>
    <xf numFmtId="2" fontId="0" fillId="0" borderId="0" xfId="0" applyNumberFormat="1" applyFill="1"/>
    <xf numFmtId="0" fontId="0" fillId="0" borderId="0" xfId="0" applyFill="1" applyBorder="1"/>
    <xf numFmtId="2" fontId="0" fillId="0" borderId="0" xfId="0" applyNumberFormat="1" applyFill="1" applyBorder="1"/>
    <xf numFmtId="0" fontId="0" fillId="0" borderId="0" xfId="0" applyBorder="1"/>
    <xf numFmtId="0" fontId="1" fillId="3" borderId="1" xfId="0" applyFont="1" applyFill="1" applyBorder="1" applyAlignment="1">
      <alignment horizontal="center" wrapText="1"/>
    </xf>
    <xf numFmtId="0" fontId="5" fillId="0" borderId="0" xfId="0" applyFont="1"/>
    <xf numFmtId="0" fontId="3" fillId="0" borderId="0" xfId="1" applyFont="1" applyFill="1" applyBorder="1" applyAlignment="1">
      <alignment horizontal="center" wrapText="1"/>
    </xf>
    <xf numFmtId="0" fontId="4" fillId="2" borderId="3" xfId="1" applyFont="1" applyFill="1" applyBorder="1" applyAlignment="1">
      <alignment horizontal="center" wrapText="1"/>
    </xf>
    <xf numFmtId="0" fontId="1" fillId="3" borderId="1" xfId="0" applyFont="1" applyFill="1" applyBorder="1" applyAlignment="1">
      <alignment wrapText="1"/>
    </xf>
    <xf numFmtId="164" fontId="3" fillId="4" borderId="1" xfId="1" applyNumberFormat="1" applyFont="1" applyFill="1" applyBorder="1" applyAlignment="1">
      <alignment horizontal="right" wrapText="1"/>
    </xf>
    <xf numFmtId="1" fontId="0" fillId="4" borderId="1" xfId="0" applyNumberFormat="1" applyFill="1" applyBorder="1"/>
    <xf numFmtId="0" fontId="6" fillId="5" borderId="4" xfId="0" applyFont="1" applyFill="1" applyBorder="1" applyAlignment="1">
      <alignment vertical="top" wrapText="1"/>
    </xf>
    <xf numFmtId="0" fontId="6" fillId="5" borderId="5" xfId="0" applyFont="1" applyFill="1" applyBorder="1" applyAlignment="1">
      <alignment vertical="top" wrapText="1"/>
    </xf>
    <xf numFmtId="0" fontId="6" fillId="6" borderId="5" xfId="0" applyFont="1" applyFill="1" applyBorder="1" applyAlignment="1">
      <alignment vertical="top" wrapText="1"/>
    </xf>
    <xf numFmtId="0" fontId="0" fillId="0" borderId="0" xfId="0" applyAlignment="1"/>
    <xf numFmtId="0" fontId="6" fillId="7" borderId="6" xfId="0" applyFont="1" applyFill="1" applyBorder="1" applyAlignment="1">
      <alignment vertical="top" wrapText="1"/>
    </xf>
    <xf numFmtId="2" fontId="0" fillId="10" borderId="0" xfId="0" applyNumberFormat="1" applyFill="1"/>
    <xf numFmtId="0" fontId="6" fillId="0" borderId="0" xfId="0" applyFont="1" applyBorder="1" applyAlignment="1">
      <alignment vertical="top"/>
    </xf>
    <xf numFmtId="0" fontId="6" fillId="0" borderId="0" xfId="0" applyFont="1" applyFill="1" applyBorder="1" applyAlignment="1">
      <alignment vertical="top" wrapText="1"/>
    </xf>
    <xf numFmtId="167" fontId="0" fillId="0" borderId="0" xfId="0" applyNumberFormat="1"/>
    <xf numFmtId="0" fontId="8" fillId="0" borderId="0" xfId="0" applyFont="1"/>
    <xf numFmtId="0" fontId="9" fillId="0" borderId="0" xfId="3" applyAlignment="1" applyProtection="1"/>
    <xf numFmtId="0" fontId="0" fillId="0" borderId="1" xfId="0" applyBorder="1"/>
    <xf numFmtId="0" fontId="0" fillId="8" borderId="1" xfId="0" applyFill="1" applyBorder="1"/>
    <xf numFmtId="166" fontId="0" fillId="8" borderId="1" xfId="0" applyNumberFormat="1" applyFill="1" applyBorder="1"/>
    <xf numFmtId="0" fontId="1" fillId="9" borderId="1" xfId="0" applyFont="1" applyFill="1" applyBorder="1"/>
    <xf numFmtId="166" fontId="1" fillId="9" borderId="1" xfId="0" applyNumberFormat="1" applyFont="1" applyFill="1" applyBorder="1"/>
    <xf numFmtId="0" fontId="0" fillId="7" borderId="1" xfId="0" applyFill="1" applyBorder="1"/>
    <xf numFmtId="166" fontId="0" fillId="7" borderId="1" xfId="0" applyNumberFormat="1" applyFill="1" applyBorder="1"/>
    <xf numFmtId="0" fontId="0" fillId="11" borderId="1" xfId="0" applyFont="1" applyFill="1" applyBorder="1"/>
    <xf numFmtId="166" fontId="0" fillId="11" borderId="1" xfId="0" applyNumberFormat="1" applyFont="1" applyFill="1" applyBorder="1"/>
    <xf numFmtId="0" fontId="0" fillId="12" borderId="1" xfId="0" applyFill="1" applyBorder="1"/>
    <xf numFmtId="166" fontId="0" fillId="12" borderId="1" xfId="0" applyNumberFormat="1" applyFill="1" applyBorder="1"/>
    <xf numFmtId="0" fontId="0" fillId="13" borderId="1" xfId="0" applyFill="1" applyBorder="1"/>
    <xf numFmtId="166" fontId="0" fillId="13" borderId="1" xfId="0" applyNumberFormat="1" applyFill="1" applyBorder="1"/>
    <xf numFmtId="0" fontId="0" fillId="3" borderId="1" xfId="0" applyFont="1" applyFill="1" applyBorder="1"/>
    <xf numFmtId="166" fontId="0" fillId="3" borderId="1" xfId="0" applyNumberFormat="1" applyFont="1" applyFill="1" applyBorder="1"/>
    <xf numFmtId="0" fontId="0" fillId="14" borderId="1" xfId="0" applyFill="1" applyBorder="1"/>
    <xf numFmtId="166" fontId="0" fillId="14" borderId="1" xfId="0" applyNumberFormat="1" applyFill="1" applyBorder="1"/>
    <xf numFmtId="0" fontId="0" fillId="15" borderId="1" xfId="0" applyFill="1" applyBorder="1"/>
    <xf numFmtId="166" fontId="0" fillId="15" borderId="1" xfId="0" applyNumberFormat="1" applyFill="1" applyBorder="1"/>
    <xf numFmtId="0" fontId="1" fillId="16" borderId="1" xfId="0" applyFont="1" applyFill="1" applyBorder="1"/>
    <xf numFmtId="166" fontId="0" fillId="16" borderId="1" xfId="0" applyNumberFormat="1" applyFill="1" applyBorder="1"/>
    <xf numFmtId="0" fontId="0" fillId="3" borderId="1" xfId="0" applyFill="1" applyBorder="1"/>
    <xf numFmtId="166" fontId="0" fillId="3" borderId="1" xfId="0" applyNumberFormat="1" applyFill="1" applyBorder="1"/>
    <xf numFmtId="0" fontId="0" fillId="17" borderId="1" xfId="0" applyFill="1" applyBorder="1"/>
    <xf numFmtId="166" fontId="0" fillId="17" borderId="1" xfId="0" applyNumberFormat="1" applyFill="1" applyBorder="1"/>
    <xf numFmtId="0" fontId="0" fillId="18" borderId="1" xfId="0" applyFill="1" applyBorder="1"/>
    <xf numFmtId="166" fontId="0" fillId="18" borderId="1" xfId="0" applyNumberFormat="1" applyFill="1" applyBorder="1"/>
    <xf numFmtId="9" fontId="0" fillId="0" borderId="0" xfId="0" applyNumberFormat="1"/>
    <xf numFmtId="1" fontId="0" fillId="0" borderId="0" xfId="0" applyNumberFormat="1"/>
    <xf numFmtId="0" fontId="0" fillId="8" borderId="0" xfId="0" applyFill="1" applyBorder="1"/>
    <xf numFmtId="4" fontId="0" fillId="0" borderId="0" xfId="0" applyNumberFormat="1"/>
    <xf numFmtId="165" fontId="0" fillId="0" borderId="0" xfId="0" applyNumberFormat="1"/>
    <xf numFmtId="0" fontId="11" fillId="20" borderId="0" xfId="0" applyFont="1" applyFill="1" applyAlignment="1">
      <alignment horizontal="center" wrapText="1"/>
    </xf>
    <xf numFmtId="0" fontId="10" fillId="19" borderId="0" xfId="0" applyFont="1" applyFill="1" applyAlignment="1">
      <alignment horizontal="center" vertical="top" wrapText="1"/>
    </xf>
    <xf numFmtId="0" fontId="12" fillId="19" borderId="0" xfId="0" applyFont="1" applyFill="1" applyAlignment="1">
      <alignment horizontal="center" vertical="top" wrapText="1"/>
    </xf>
    <xf numFmtId="0" fontId="0" fillId="20" borderId="8" xfId="0" applyFill="1" applyBorder="1" applyAlignment="1">
      <alignment horizontal="center" wrapText="1"/>
    </xf>
    <xf numFmtId="0" fontId="11" fillId="20" borderId="9" xfId="0" applyFont="1" applyFill="1" applyBorder="1" applyAlignment="1">
      <alignment horizontal="center" wrapText="1"/>
    </xf>
    <xf numFmtId="0" fontId="0" fillId="19" borderId="10" xfId="0" applyFill="1" applyBorder="1"/>
    <xf numFmtId="0" fontId="11" fillId="20" borderId="11" xfId="0" applyFont="1" applyFill="1" applyBorder="1" applyAlignment="1">
      <alignment horizontal="center" wrapText="1"/>
    </xf>
    <xf numFmtId="0" fontId="0" fillId="19" borderId="12" xfId="0" applyFill="1" applyBorder="1"/>
    <xf numFmtId="0" fontId="10" fillId="19" borderId="11" xfId="0" applyFont="1" applyFill="1" applyBorder="1" applyAlignment="1">
      <alignment horizontal="center" vertical="top" wrapText="1"/>
    </xf>
    <xf numFmtId="0" fontId="10" fillId="19" borderId="12" xfId="0" applyFont="1" applyFill="1" applyBorder="1" applyAlignment="1">
      <alignment horizontal="center" vertical="top" wrapText="1"/>
    </xf>
    <xf numFmtId="0" fontId="12" fillId="19" borderId="12" xfId="0" applyFont="1" applyFill="1" applyBorder="1" applyAlignment="1">
      <alignment horizontal="center" vertical="top" wrapText="1"/>
    </xf>
    <xf numFmtId="0" fontId="10" fillId="19" borderId="13" xfId="0" applyFont="1" applyFill="1" applyBorder="1" applyAlignment="1">
      <alignment horizontal="center" vertical="top" wrapText="1"/>
    </xf>
    <xf numFmtId="0" fontId="12" fillId="19" borderId="14" xfId="0" applyFont="1" applyFill="1" applyBorder="1" applyAlignment="1">
      <alignment horizontal="center" vertical="top" wrapText="1"/>
    </xf>
    <xf numFmtId="0" fontId="10" fillId="19" borderId="14" xfId="0" applyFont="1" applyFill="1" applyBorder="1" applyAlignment="1">
      <alignment horizontal="center" vertical="top" wrapText="1"/>
    </xf>
    <xf numFmtId="0" fontId="12" fillId="19" borderId="15" xfId="0" applyFont="1" applyFill="1" applyBorder="1" applyAlignment="1">
      <alignment horizontal="center" vertical="top" wrapText="1"/>
    </xf>
    <xf numFmtId="0" fontId="0" fillId="0" borderId="1" xfId="0" applyBorder="1" applyAlignment="1">
      <alignment horizontal="center"/>
    </xf>
    <xf numFmtId="166" fontId="0" fillId="0" borderId="1" xfId="0" applyNumberFormat="1" applyFill="1" applyBorder="1"/>
    <xf numFmtId="0" fontId="0" fillId="0" borderId="7" xfId="0" applyFill="1" applyBorder="1"/>
    <xf numFmtId="1" fontId="0" fillId="0" borderId="7" xfId="0" applyNumberFormat="1" applyFill="1" applyBorder="1" applyAlignment="1">
      <alignment horizontal="left"/>
    </xf>
    <xf numFmtId="0" fontId="0" fillId="0" borderId="0" xfId="0" applyFill="1"/>
    <xf numFmtId="1" fontId="0" fillId="0" borderId="0" xfId="0" applyNumberFormat="1" applyFill="1"/>
    <xf numFmtId="168" fontId="0" fillId="0" borderId="0" xfId="0" applyNumberFormat="1"/>
    <xf numFmtId="0" fontId="6" fillId="0" borderId="0" xfId="0" applyFont="1" applyBorder="1" applyAlignment="1">
      <alignment horizontal="right" vertical="top" wrapText="1"/>
    </xf>
    <xf numFmtId="1" fontId="0" fillId="0" borderId="1" xfId="0" applyNumberFormat="1" applyFill="1" applyBorder="1"/>
    <xf numFmtId="165" fontId="0" fillId="0" borderId="1" xfId="0" applyNumberFormat="1" applyBorder="1" applyAlignment="1">
      <alignment wrapText="1"/>
    </xf>
    <xf numFmtId="1" fontId="0" fillId="0" borderId="1" xfId="0" applyNumberFormat="1" applyBorder="1" applyAlignment="1">
      <alignment wrapText="1"/>
    </xf>
    <xf numFmtId="165" fontId="0" fillId="22" borderId="1" xfId="0" applyNumberFormat="1" applyFill="1" applyBorder="1" applyAlignment="1">
      <alignment wrapText="1"/>
    </xf>
    <xf numFmtId="165" fontId="0" fillId="22" borderId="1" xfId="0" applyNumberFormat="1" applyFill="1" applyBorder="1"/>
    <xf numFmtId="49" fontId="0" fillId="13" borderId="1" xfId="0" applyNumberFormat="1" applyFill="1" applyBorder="1" applyAlignment="1">
      <alignment vertical="center" wrapText="1"/>
    </xf>
    <xf numFmtId="166" fontId="0" fillId="21" borderId="1" xfId="0" applyNumberFormat="1" applyFill="1" applyBorder="1" applyAlignment="1">
      <alignment vertical="center" wrapText="1"/>
    </xf>
    <xf numFmtId="0" fontId="0" fillId="21" borderId="1" xfId="0" applyFill="1" applyBorder="1" applyAlignment="1">
      <alignment vertical="center" wrapText="1"/>
    </xf>
    <xf numFmtId="49" fontId="1" fillId="0" borderId="0" xfId="0" applyNumberFormat="1" applyFont="1" applyAlignment="1"/>
    <xf numFmtId="49" fontId="0" fillId="0" borderId="0" xfId="0" applyNumberFormat="1" applyAlignment="1"/>
    <xf numFmtId="0" fontId="1" fillId="3" borderId="16" xfId="0" applyFont="1" applyFill="1" applyBorder="1" applyAlignment="1">
      <alignment horizontal="center"/>
    </xf>
    <xf numFmtId="0" fontId="1" fillId="3" borderId="17" xfId="0" applyFont="1" applyFill="1" applyBorder="1" applyAlignment="1">
      <alignment horizontal="center"/>
    </xf>
    <xf numFmtId="0" fontId="1" fillId="3" borderId="3" xfId="0" applyFont="1" applyFill="1" applyBorder="1" applyAlignment="1">
      <alignment horizontal="center"/>
    </xf>
    <xf numFmtId="49" fontId="6" fillId="0" borderId="0" xfId="0" applyNumberFormat="1" applyFont="1" applyFill="1" applyBorder="1" applyAlignment="1">
      <alignment vertical="top" wrapText="1"/>
    </xf>
    <xf numFmtId="49" fontId="0" fillId="0" borderId="0" xfId="0" applyNumberFormat="1" applyAlignment="1">
      <alignment vertical="top"/>
    </xf>
    <xf numFmtId="0" fontId="6" fillId="0" borderId="6" xfId="0" applyFont="1" applyBorder="1" applyAlignment="1">
      <alignment vertical="top"/>
    </xf>
    <xf numFmtId="0" fontId="0" fillId="0" borderId="0" xfId="0" applyAlignment="1"/>
    <xf numFmtId="0" fontId="10" fillId="20" borderId="9" xfId="0" applyFont="1" applyFill="1" applyBorder="1" applyAlignment="1">
      <alignment horizontal="center" wrapText="1"/>
    </xf>
    <xf numFmtId="0" fontId="10" fillId="20" borderId="0" xfId="0" applyFont="1" applyFill="1" applyBorder="1" applyAlignment="1">
      <alignment horizontal="center" wrapText="1"/>
    </xf>
    <xf numFmtId="0" fontId="11" fillId="20" borderId="9" xfId="0" applyFont="1" applyFill="1" applyBorder="1" applyAlignment="1">
      <alignment horizontal="center" wrapText="1"/>
    </xf>
    <xf numFmtId="0" fontId="11" fillId="20" borderId="0" xfId="0" applyFont="1" applyFill="1" applyBorder="1" applyAlignment="1">
      <alignment horizontal="center" wrapText="1"/>
    </xf>
    <xf numFmtId="0" fontId="0" fillId="0" borderId="16" xfId="0" applyBorder="1" applyAlignment="1">
      <alignment horizontal="center" wrapText="1"/>
    </xf>
    <xf numFmtId="0" fontId="0" fillId="0" borderId="3" xfId="0" applyBorder="1" applyAlignment="1">
      <alignment horizontal="center" wrapText="1"/>
    </xf>
    <xf numFmtId="0" fontId="1" fillId="3" borderId="0" xfId="0" applyFont="1" applyFill="1" applyBorder="1" applyAlignment="1">
      <alignment horizontal="center" wrapText="1"/>
    </xf>
    <xf numFmtId="0" fontId="1" fillId="3" borderId="18" xfId="0" applyFont="1" applyFill="1" applyBorder="1" applyAlignment="1">
      <alignment horizontal="center" wrapText="1"/>
    </xf>
    <xf numFmtId="0" fontId="13" fillId="0" borderId="4" xfId="0" applyFont="1" applyBorder="1" applyAlignment="1">
      <alignment horizontal="center" vertical="top" wrapText="1"/>
    </xf>
    <xf numFmtId="0" fontId="14" fillId="0" borderId="19" xfId="0" applyFont="1" applyBorder="1" applyAlignment="1">
      <alignment horizontal="center" vertical="top" wrapText="1"/>
    </xf>
    <xf numFmtId="0" fontId="13" fillId="0" borderId="5" xfId="0" applyFont="1" applyBorder="1" applyAlignment="1">
      <alignment horizontal="center" vertical="top" wrapText="1"/>
    </xf>
    <xf numFmtId="0" fontId="14" fillId="0" borderId="20" xfId="0" applyFont="1" applyBorder="1" applyAlignment="1">
      <alignment horizontal="center" vertical="top" wrapText="1"/>
    </xf>
    <xf numFmtId="0" fontId="13" fillId="0" borderId="5" xfId="0" applyFont="1" applyBorder="1" applyAlignment="1">
      <alignment horizontal="right" vertical="top" wrapText="1"/>
    </xf>
    <xf numFmtId="0" fontId="13" fillId="0" borderId="20" xfId="0" applyFont="1" applyBorder="1" applyAlignment="1">
      <alignment horizontal="right" vertical="top" wrapText="1"/>
    </xf>
    <xf numFmtId="0" fontId="13" fillId="23" borderId="5" xfId="0" applyFont="1" applyFill="1" applyBorder="1" applyAlignment="1">
      <alignment horizontal="right" vertical="top" wrapText="1"/>
    </xf>
    <xf numFmtId="0" fontId="13" fillId="23" borderId="20" xfId="0" applyFont="1" applyFill="1" applyBorder="1" applyAlignment="1">
      <alignment horizontal="right" vertical="top" wrapText="1"/>
    </xf>
    <xf numFmtId="0" fontId="13" fillId="0" borderId="20" xfId="0" applyFont="1" applyBorder="1" applyAlignment="1">
      <alignment horizontal="center" vertical="top" wrapText="1"/>
    </xf>
  </cellXfs>
  <cellStyles count="4">
    <cellStyle name="Hyperlink" xfId="3" builtinId="8"/>
    <cellStyle name="Normal" xfId="0" builtinId="0"/>
    <cellStyle name="Normal_Albedo" xfId="1"/>
    <cellStyle name="Normal_SCE Calc 0,0" xfId="2"/>
  </cellStyles>
  <dxfs count="0"/>
  <tableStyles count="0" defaultTableStyle="TableStyleMedium9" defaultPivotStyle="PivotStyleLight16"/>
  <colors>
    <mruColors>
      <color rgb="FFFFFFCC"/>
      <color rgb="FFFFFF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layout>
        <c:manualLayout>
          <c:xMode val="edge"/>
          <c:yMode val="edge"/>
          <c:x val="0.32824300087489106"/>
          <c:y val="2.318839874064477E-2"/>
        </c:manualLayout>
      </c:layout>
    </c:title>
    <c:plotArea>
      <c:layout/>
      <c:lineChart>
        <c:grouping val="standard"/>
        <c:ser>
          <c:idx val="0"/>
          <c:order val="0"/>
          <c:tx>
            <c:v>El Nino Anamoly</c:v>
          </c:tx>
          <c:marker>
            <c:symbol val="none"/>
          </c:marker>
          <c:cat>
            <c:numRef>
              <c:f>'El Nino'!$E$1:$E$116</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'El Nino'!$F$1:$F$116</c:f>
              <c:numCache>
                <c:formatCode>General</c:formatCode>
                <c:ptCount val="116"/>
                <c:pt idx="0">
                  <c:v>-7.5499999999999998E-2</c:v>
                </c:pt>
                <c:pt idx="2">
                  <c:v>-0.2964</c:v>
                </c:pt>
                <c:pt idx="5">
                  <c:v>-0.19359999999999999</c:v>
                </c:pt>
                <c:pt idx="11">
                  <c:v>-0.4677</c:v>
                </c:pt>
                <c:pt idx="14">
                  <c:v>-0.2109</c:v>
                </c:pt>
                <c:pt idx="18">
                  <c:v>-0.1976</c:v>
                </c:pt>
                <c:pt idx="23">
                  <c:v>-0.27400000000000002</c:v>
                </c:pt>
                <c:pt idx="25">
                  <c:v>-0.2029</c:v>
                </c:pt>
                <c:pt idx="30">
                  <c:v>-5.5500000000000001E-2</c:v>
                </c:pt>
                <c:pt idx="32">
                  <c:v>-0.10680000000000001</c:v>
                </c:pt>
                <c:pt idx="39">
                  <c:v>6.7999999999999996E-3</c:v>
                </c:pt>
                <c:pt idx="40">
                  <c:v>0.14660000000000001</c:v>
                </c:pt>
                <c:pt idx="41">
                  <c:v>0.2046</c:v>
                </c:pt>
                <c:pt idx="46">
                  <c:v>-3.4200000000000001E-2</c:v>
                </c:pt>
                <c:pt idx="51">
                  <c:v>0.11070000000000001</c:v>
                </c:pt>
                <c:pt idx="53">
                  <c:v>6.9900000000000004E-2</c:v>
                </c:pt>
                <c:pt idx="57">
                  <c:v>6.3100000000000003E-2</c:v>
                </c:pt>
                <c:pt idx="63">
                  <c:v>0.13750000000000001</c:v>
                </c:pt>
                <c:pt idx="65">
                  <c:v>-8.3199999999999996E-2</c:v>
                </c:pt>
                <c:pt idx="69">
                  <c:v>9.2899999999999996E-2</c:v>
                </c:pt>
                <c:pt idx="72">
                  <c:v>6.6500000000000004E-2</c:v>
                </c:pt>
                <c:pt idx="76">
                  <c:v>-8.6300000000000002E-2</c:v>
                </c:pt>
                <c:pt idx="77">
                  <c:v>0.1716</c:v>
                </c:pt>
                <c:pt idx="82">
                  <c:v>0.14230000000000001</c:v>
                </c:pt>
                <c:pt idx="86">
                  <c:v>0.16539999999999999</c:v>
                </c:pt>
                <c:pt idx="91">
                  <c:v>0.44159999999999999</c:v>
                </c:pt>
                <c:pt idx="94">
                  <c:v>0.31040000000000001</c:v>
                </c:pt>
                <c:pt idx="97">
                  <c:v>0.50490000000000002</c:v>
                </c:pt>
                <c:pt idx="102">
                  <c:v>0.61860000000000004</c:v>
                </c:pt>
                <c:pt idx="104">
                  <c:v>0.48099999999999998</c:v>
                </c:pt>
                <c:pt idx="106">
                  <c:v>0.61770000000000003</c:v>
                </c:pt>
                <c:pt idx="109">
                  <c:v>0.63539999999999996</c:v>
                </c:pt>
                <c:pt idx="115">
                  <c:v>0.80610000000000004</c:v>
                </c:pt>
              </c:numCache>
            </c:numRef>
          </c:val>
        </c:ser>
        <c:marker val="1"/>
        <c:axId val="80635392"/>
        <c:axId val="80636928"/>
      </c:lineChart>
      <c:catAx>
        <c:axId val="80635392"/>
        <c:scaling>
          <c:orientation val="minMax"/>
        </c:scaling>
        <c:axPos val="b"/>
        <c:numFmt formatCode="General" sourceLinked="1"/>
        <c:tickLblPos val="nextTo"/>
        <c:crossAx val="80636928"/>
        <c:crosses val="autoZero"/>
        <c:auto val="1"/>
        <c:lblAlgn val="ctr"/>
        <c:lblOffset val="100"/>
      </c:catAx>
      <c:valAx>
        <c:axId val="80636928"/>
        <c:scaling>
          <c:orientation val="minMax"/>
        </c:scaling>
        <c:axPos val="l"/>
        <c:majorGridlines/>
        <c:numFmt formatCode="General" sourceLinked="1"/>
        <c:tickLblPos val="nextTo"/>
        <c:crossAx val="80635392"/>
        <c:crosses val="autoZero"/>
        <c:crossBetween val="between"/>
      </c:valAx>
    </c:plotArea>
    <c:legend>
      <c:legendPos val="r"/>
    </c:legend>
    <c:plotVisOnly val="1"/>
    <c:dispBlanksAs val="span"/>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57150</xdr:colOff>
      <xdr:row>0</xdr:row>
      <xdr:rowOff>171450</xdr:rowOff>
    </xdr:from>
    <xdr:to>
      <xdr:col>25</xdr:col>
      <xdr:colOff>361950</xdr:colOff>
      <xdr:row>17</xdr:row>
      <xdr:rowOff>57151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wolframalpha.com/input/?i=interpolating+polynomial" TargetMode="External"/></Relationships>
</file>

<file path=xl/worksheets/sheet1.xml><?xml version="1.0" encoding="utf-8"?>
<worksheet xmlns="http://schemas.openxmlformats.org/spreadsheetml/2006/main" xmlns:r="http://schemas.openxmlformats.org/officeDocument/2006/relationships">
  <dimension ref="A1:AJ249"/>
  <sheetViews>
    <sheetView tabSelected="1" workbookViewId="0">
      <selection activeCell="AD21" sqref="AD21"/>
    </sheetView>
  </sheetViews>
  <sheetFormatPr defaultRowHeight="15"/>
  <cols>
    <col min="1" max="1" width="8" customWidth="1"/>
    <col min="3" max="3" width="10.140625" customWidth="1"/>
    <col min="4" max="4" width="10.5703125" customWidth="1"/>
    <col min="5" max="5" width="9.7109375" customWidth="1"/>
    <col min="6" max="6" width="9.140625" customWidth="1"/>
    <col min="7" max="7" width="6.42578125" customWidth="1"/>
    <col min="9" max="10" width="9.7109375" customWidth="1"/>
    <col min="11" max="11" width="9.140625" customWidth="1"/>
    <col min="12" max="12" width="10.140625" customWidth="1"/>
    <col min="14" max="14" width="10.140625" customWidth="1"/>
    <col min="16" max="16" width="21.5703125" customWidth="1"/>
    <col min="18" max="18" width="9" customWidth="1"/>
    <col min="19" max="19" width="13.42578125" customWidth="1"/>
  </cols>
  <sheetData>
    <row r="1" spans="1:36" ht="15.75" thickBot="1">
      <c r="A1" s="16" t="s">
        <v>16</v>
      </c>
    </row>
    <row r="2" spans="1:36" ht="15.75" thickBot="1">
      <c r="A2" s="86">
        <v>42604</v>
      </c>
      <c r="AB2" s="113"/>
      <c r="AC2" s="114"/>
      <c r="AD2" s="114"/>
      <c r="AE2" s="114"/>
      <c r="AF2" s="114"/>
      <c r="AG2" s="114"/>
      <c r="AH2" s="114"/>
      <c r="AI2" s="114"/>
      <c r="AJ2" s="114"/>
    </row>
    <row r="3" spans="1:36" s="1" customFormat="1" ht="15" customHeight="1" thickBot="1">
      <c r="B3" s="96" t="s">
        <v>155</v>
      </c>
      <c r="C3" s="96"/>
      <c r="D3" s="97"/>
      <c r="E3" s="97"/>
      <c r="F3" s="97"/>
      <c r="G3" s="97"/>
      <c r="H3" s="97"/>
      <c r="I3" s="97"/>
      <c r="AB3" s="115"/>
      <c r="AC3" s="116"/>
      <c r="AD3" s="116"/>
      <c r="AE3" s="116"/>
      <c r="AF3" s="116"/>
      <c r="AG3" s="116"/>
      <c r="AH3" s="116"/>
      <c r="AI3" s="116"/>
      <c r="AJ3" s="116"/>
    </row>
    <row r="4" spans="1:36" ht="15.75" thickBot="1">
      <c r="A4">
        <v>3.4</v>
      </c>
      <c r="B4" t="s">
        <v>0</v>
      </c>
      <c r="AB4" s="117"/>
      <c r="AC4" s="118"/>
      <c r="AD4" s="118"/>
      <c r="AE4" s="118"/>
      <c r="AF4" s="118"/>
      <c r="AG4" s="118"/>
      <c r="AH4" s="118"/>
      <c r="AI4" s="118"/>
      <c r="AJ4" s="118"/>
    </row>
    <row r="5" spans="1:36" ht="15.75" thickBot="1">
      <c r="A5">
        <f>7.80432/0.45</f>
        <v>17.342933333333331</v>
      </c>
      <c r="B5" t="s">
        <v>1</v>
      </c>
      <c r="AB5" s="117"/>
      <c r="AC5" s="118"/>
      <c r="AD5" s="118"/>
      <c r="AE5" s="118"/>
      <c r="AF5" s="118"/>
      <c r="AG5" s="118"/>
      <c r="AH5" s="118"/>
      <c r="AI5" s="118"/>
      <c r="AJ5" s="118"/>
    </row>
    <row r="6" spans="1:36" ht="15.75" thickBot="1">
      <c r="A6">
        <v>278</v>
      </c>
      <c r="B6" t="s">
        <v>10</v>
      </c>
      <c r="AB6" s="117"/>
      <c r="AC6" s="118"/>
      <c r="AD6" s="118"/>
      <c r="AE6" s="118"/>
      <c r="AF6" s="118"/>
      <c r="AG6" s="118"/>
      <c r="AH6" s="118"/>
      <c r="AI6" s="118"/>
      <c r="AJ6" s="118"/>
    </row>
    <row r="7" spans="1:36" ht="15.75" thickBot="1">
      <c r="A7">
        <v>403</v>
      </c>
      <c r="B7" t="s">
        <v>8</v>
      </c>
      <c r="AB7" s="119"/>
      <c r="AC7" s="120"/>
      <c r="AD7" s="120"/>
      <c r="AE7" s="120"/>
      <c r="AF7" s="120"/>
      <c r="AG7" s="120"/>
      <c r="AH7" s="120"/>
      <c r="AI7" s="120"/>
      <c r="AJ7" s="120"/>
    </row>
    <row r="8" spans="1:36" ht="15.75" thickBot="1">
      <c r="A8" s="5">
        <f>5.35*LN(A7/A6)</f>
        <v>1.9865376481698458</v>
      </c>
      <c r="B8" t="s">
        <v>9</v>
      </c>
      <c r="AB8" s="115"/>
      <c r="AC8" s="121"/>
      <c r="AD8" s="121"/>
      <c r="AE8" s="121"/>
      <c r="AF8" s="121"/>
      <c r="AG8" s="121"/>
      <c r="AH8" s="121"/>
      <c r="AI8" s="121"/>
      <c r="AJ8" s="121"/>
    </row>
    <row r="9" spans="1:36" ht="15.75" thickBot="1">
      <c r="A9">
        <v>70</v>
      </c>
      <c r="B9" t="s">
        <v>5</v>
      </c>
      <c r="AB9" s="115"/>
      <c r="AC9" s="121"/>
      <c r="AD9" s="121"/>
      <c r="AE9" s="121"/>
      <c r="AF9" s="121"/>
      <c r="AG9" s="121"/>
      <c r="AH9" s="121"/>
      <c r="AI9" s="121"/>
      <c r="AJ9" s="121"/>
    </row>
    <row r="10" spans="1:36">
      <c r="A10">
        <v>3</v>
      </c>
      <c r="B10" t="s">
        <v>6</v>
      </c>
    </row>
    <row r="11" spans="1:36">
      <c r="U11" s="98" t="s">
        <v>156</v>
      </c>
      <c r="V11" s="99"/>
      <c r="W11" s="100"/>
    </row>
    <row r="12" spans="1:36" ht="74.25" customHeight="1">
      <c r="A12" s="17"/>
      <c r="B12" s="18" t="s">
        <v>7</v>
      </c>
      <c r="C12" s="19" t="s">
        <v>2</v>
      </c>
      <c r="D12" s="19" t="s">
        <v>3</v>
      </c>
      <c r="E12" s="19" t="s">
        <v>4</v>
      </c>
      <c r="F12" s="19" t="s">
        <v>12</v>
      </c>
      <c r="H12" s="15" t="s">
        <v>2</v>
      </c>
      <c r="I12" s="15" t="s">
        <v>11</v>
      </c>
      <c r="J12" s="15" t="s">
        <v>154</v>
      </c>
      <c r="K12" s="15" t="s">
        <v>14</v>
      </c>
      <c r="L12" s="15" t="s">
        <v>15</v>
      </c>
      <c r="M12" s="15" t="s">
        <v>13</v>
      </c>
      <c r="P12" s="33"/>
      <c r="Q12" s="109" t="s">
        <v>64</v>
      </c>
      <c r="R12" s="110"/>
      <c r="S12" s="80" t="s">
        <v>153</v>
      </c>
      <c r="U12" s="15" t="s">
        <v>2</v>
      </c>
      <c r="V12" s="15" t="s">
        <v>3</v>
      </c>
      <c r="W12" s="15" t="s">
        <v>12</v>
      </c>
      <c r="Y12" s="112" t="s">
        <v>161</v>
      </c>
      <c r="Z12" s="111" t="s">
        <v>160</v>
      </c>
    </row>
    <row r="13" spans="1:36">
      <c r="A13" s="9"/>
      <c r="B13" s="20">
        <v>2.0000000000000001E-4</v>
      </c>
      <c r="C13" s="8">
        <f t="shared" ref="C13:C44" si="0">$B13*((100-$A$9)/100)*$A$4*100</f>
        <v>2.0400000000000001E-2</v>
      </c>
      <c r="D13" s="2">
        <f>$A$6 * POWER(2.718,(C13+$A$8)/5.35) - $A$7</f>
        <v>1.523872122982084</v>
      </c>
      <c r="E13" s="3">
        <f t="shared" ref="E13:E26" si="1">D13*$A$5</f>
        <v>26.428412637403412</v>
      </c>
      <c r="F13" s="2">
        <f>$A$10*$D13/$A$7</f>
        <v>1.1343961213266134E-2</v>
      </c>
      <c r="H13" s="8">
        <f>5.35*LN(($A$7+L13)/$A$7)</f>
        <v>6.4672184476831804E-2</v>
      </c>
      <c r="I13" s="21">
        <v>1</v>
      </c>
      <c r="J13" s="88">
        <f>I13*85</f>
        <v>85</v>
      </c>
      <c r="K13" s="2">
        <f>I13*10/$A$5</f>
        <v>0.57660372716649244</v>
      </c>
      <c r="L13" s="2">
        <f>I13*85/$A$5</f>
        <v>4.9011316809151859</v>
      </c>
      <c r="M13" s="2">
        <f>$A$10*$L13/$A$7</f>
        <v>3.6484851222693696E-2</v>
      </c>
      <c r="P13" s="33"/>
      <c r="Q13" s="33">
        <v>2011</v>
      </c>
      <c r="R13" s="33" t="s">
        <v>65</v>
      </c>
      <c r="S13" s="33"/>
      <c r="U13" s="91">
        <v>2</v>
      </c>
      <c r="V13" s="90">
        <f t="shared" ref="V13:V53" si="2">$A$6 * POWER(2.718,(U13)/5.35)</f>
        <v>403.99969738603977</v>
      </c>
      <c r="W13" s="89">
        <f>3*(V13-278)/278</f>
        <v>1.3597089645975515</v>
      </c>
      <c r="Y13">
        <v>1.63</v>
      </c>
      <c r="Z13">
        <v>1.1000000000000001</v>
      </c>
      <c r="AA13" t="s">
        <v>158</v>
      </c>
    </row>
    <row r="14" spans="1:36">
      <c r="A14" s="9"/>
      <c r="B14" s="20">
        <f>B13+0.0002</f>
        <v>4.0000000000000002E-4</v>
      </c>
      <c r="C14" s="8">
        <f t="shared" si="0"/>
        <v>4.0800000000000003E-2</v>
      </c>
      <c r="D14" s="2">
        <f t="shared" ref="D14:D62" si="3">$A$6 * POWER(2.718,(C14+$A$8)/5.35) - $A$7</f>
        <v>3.0691396816890801</v>
      </c>
      <c r="E14" s="3">
        <f t="shared" si="1"/>
        <v>53.227884890221596</v>
      </c>
      <c r="F14" s="2">
        <f t="shared" ref="F14:F77" si="4">$A$10*$D14/$A$7</f>
        <v>2.2847193660216477E-2</v>
      </c>
      <c r="H14" s="8">
        <f t="shared" ref="H14:H77" si="5">5.35*LN(($A$7+L14)/$A$7)</f>
        <v>0.12857192308357912</v>
      </c>
      <c r="I14" s="21">
        <f>I13+1</f>
        <v>2</v>
      </c>
      <c r="J14" s="88">
        <f t="shared" ref="J14:J77" si="6">I14*85</f>
        <v>170</v>
      </c>
      <c r="K14" s="2">
        <f t="shared" ref="K14:K77" si="7">I14*10/$A$5</f>
        <v>1.1532074543329849</v>
      </c>
      <c r="L14" s="2">
        <f t="shared" ref="L14:L62" si="8">I14*85/$A$5</f>
        <v>9.8022633618303718</v>
      </c>
      <c r="M14" s="2">
        <f t="shared" ref="M14:M77" si="9">$A$10*$L14/$A$7</f>
        <v>7.2969702445387391E-2</v>
      </c>
      <c r="P14" s="34" t="s">
        <v>30</v>
      </c>
      <c r="Q14" s="35">
        <v>1.8160000000000001</v>
      </c>
      <c r="R14" s="35">
        <v>2.2200000000000002</v>
      </c>
      <c r="S14" s="93" t="s">
        <v>152</v>
      </c>
      <c r="U14" s="92">
        <f>U13+0.1</f>
        <v>2.1</v>
      </c>
      <c r="V14" s="90">
        <f t="shared" si="2"/>
        <v>411.62131143715243</v>
      </c>
      <c r="W14" s="89">
        <f t="shared" ref="W14:W53" si="10">3*(V14-278)/278</f>
        <v>1.4419565982426521</v>
      </c>
      <c r="Y14">
        <f>Y15-Y13</f>
        <v>0.70000000000000018</v>
      </c>
      <c r="Z14">
        <f>Z15-Z13</f>
        <v>0.5299999999999998</v>
      </c>
      <c r="AA14" t="s">
        <v>159</v>
      </c>
    </row>
    <row r="15" spans="1:36">
      <c r="A15" s="9"/>
      <c r="B15" s="20">
        <f t="shared" ref="B15:B38" si="11">B14+0.0002</f>
        <v>6.0000000000000006E-4</v>
      </c>
      <c r="C15" s="8">
        <f t="shared" si="0"/>
        <v>6.1200000000000004E-2</v>
      </c>
      <c r="D15" s="2">
        <f t="shared" si="3"/>
        <v>4.6203101103935751</v>
      </c>
      <c r="E15" s="3">
        <f t="shared" si="1"/>
        <v>80.129730223881737</v>
      </c>
      <c r="F15" s="2">
        <f t="shared" si="4"/>
        <v>3.4394368067445967E-2</v>
      </c>
      <c r="H15" s="8">
        <f t="shared" si="5"/>
        <v>0.19171745045754537</v>
      </c>
      <c r="I15" s="21">
        <f t="shared" ref="I15:I78" si="12">I14+1</f>
        <v>3</v>
      </c>
      <c r="J15" s="88">
        <f t="shared" si="6"/>
        <v>255</v>
      </c>
      <c r="K15" s="2">
        <f t="shared" si="7"/>
        <v>1.7298111814994774</v>
      </c>
      <c r="L15" s="2">
        <f t="shared" si="8"/>
        <v>14.703395042745559</v>
      </c>
      <c r="M15" s="2">
        <f t="shared" si="9"/>
        <v>0.10945455366808109</v>
      </c>
      <c r="P15" s="34" t="s">
        <v>66</v>
      </c>
      <c r="Q15" s="35">
        <v>0.42499999999999999</v>
      </c>
      <c r="R15" s="35">
        <v>0.27</v>
      </c>
      <c r="S15" s="93"/>
      <c r="U15" s="92">
        <f t="shared" ref="U15:U53" si="13">U14+0.1</f>
        <v>2.2000000000000002</v>
      </c>
      <c r="V15" s="90">
        <f t="shared" si="2"/>
        <v>419.38671025127343</v>
      </c>
      <c r="W15" s="89">
        <f t="shared" si="10"/>
        <v>1.5257558660209363</v>
      </c>
      <c r="Y15">
        <v>2.33</v>
      </c>
      <c r="Z15">
        <v>1.63</v>
      </c>
    </row>
    <row r="16" spans="1:36">
      <c r="A16" s="9"/>
      <c r="B16" s="20">
        <f t="shared" si="11"/>
        <v>8.0000000000000004E-4</v>
      </c>
      <c r="C16" s="8">
        <f t="shared" si="0"/>
        <v>8.1600000000000006E-2</v>
      </c>
      <c r="D16" s="2">
        <f t="shared" si="3"/>
        <v>6.1774059578599463</v>
      </c>
      <c r="E16" s="3">
        <f t="shared" si="1"/>
        <v>107.13433970010118</v>
      </c>
      <c r="F16" s="2">
        <f t="shared" si="4"/>
        <v>4.5985652291761388E-2</v>
      </c>
      <c r="H16" s="8">
        <f t="shared" si="5"/>
        <v>0.25412636308078851</v>
      </c>
      <c r="I16" s="21">
        <f t="shared" si="12"/>
        <v>4</v>
      </c>
      <c r="J16" s="88">
        <f t="shared" si="6"/>
        <v>340</v>
      </c>
      <c r="K16" s="2">
        <f t="shared" si="7"/>
        <v>2.3064149086659698</v>
      </c>
      <c r="L16" s="2">
        <f t="shared" si="8"/>
        <v>19.604526723660744</v>
      </c>
      <c r="M16" s="2">
        <f t="shared" si="9"/>
        <v>0.14593940489077478</v>
      </c>
      <c r="P16" s="34" t="s">
        <v>67</v>
      </c>
      <c r="Q16" s="35">
        <v>0.19500000000000001</v>
      </c>
      <c r="R16" s="35">
        <v>0.23</v>
      </c>
      <c r="S16" s="93"/>
      <c r="U16" s="92">
        <f t="shared" si="13"/>
        <v>2.3000000000000003</v>
      </c>
      <c r="V16" s="90">
        <f t="shared" si="2"/>
        <v>427.29860638481614</v>
      </c>
      <c r="W16" s="89">
        <f t="shared" si="10"/>
        <v>1.6111360401239152</v>
      </c>
      <c r="Y16">
        <v>-0.37</v>
      </c>
      <c r="AA16" t="s">
        <v>162</v>
      </c>
    </row>
    <row r="17" spans="1:27">
      <c r="A17" s="9"/>
      <c r="B17" s="20">
        <f t="shared" si="11"/>
        <v>1E-3</v>
      </c>
      <c r="C17" s="8">
        <f t="shared" si="0"/>
        <v>0.10199999999999998</v>
      </c>
      <c r="D17" s="2">
        <f t="shared" si="3"/>
        <v>7.7404498589880859</v>
      </c>
      <c r="E17" s="3">
        <f t="shared" si="1"/>
        <v>134.24210587443974</v>
      </c>
      <c r="F17" s="2">
        <f t="shared" si="4"/>
        <v>5.7621214831176819E-2</v>
      </c>
      <c r="H17" s="8">
        <f t="shared" si="5"/>
        <v>0.31581564871498174</v>
      </c>
      <c r="I17" s="21">
        <f t="shared" si="12"/>
        <v>5</v>
      </c>
      <c r="J17" s="88">
        <f t="shared" si="6"/>
        <v>425</v>
      </c>
      <c r="K17" s="2">
        <f t="shared" si="7"/>
        <v>2.8830186358324625</v>
      </c>
      <c r="L17" s="2">
        <f t="shared" si="8"/>
        <v>24.505658404575929</v>
      </c>
      <c r="M17" s="2">
        <f t="shared" si="9"/>
        <v>0.18242425611346846</v>
      </c>
      <c r="P17" s="34" t="s">
        <v>68</v>
      </c>
      <c r="Q17" s="35">
        <v>0.39500000000000002</v>
      </c>
      <c r="R17" s="35">
        <f>0.126+0.016</f>
        <v>0.14200000000000002</v>
      </c>
      <c r="S17" s="93"/>
      <c r="U17" s="92">
        <f t="shared" si="13"/>
        <v>2.4000000000000004</v>
      </c>
      <c r="V17" s="90">
        <f t="shared" si="2"/>
        <v>435.35976356764303</v>
      </c>
      <c r="W17" s="89">
        <f t="shared" si="10"/>
        <v>1.6981269449745651</v>
      </c>
      <c r="Y17">
        <v>0.65</v>
      </c>
      <c r="Z17">
        <f>2.25-(Z13+Z14)</f>
        <v>0.62000000000000011</v>
      </c>
      <c r="AA17" t="s">
        <v>80</v>
      </c>
    </row>
    <row r="18" spans="1:27">
      <c r="A18" s="9"/>
      <c r="B18" s="20">
        <f t="shared" si="11"/>
        <v>1.2000000000000001E-3</v>
      </c>
      <c r="C18" s="8">
        <f t="shared" si="0"/>
        <v>0.12240000000000001</v>
      </c>
      <c r="D18" s="2">
        <f t="shared" si="3"/>
        <v>9.3094645351426379</v>
      </c>
      <c r="E18" s="3">
        <f t="shared" si="1"/>
        <v>161.45342280200973</v>
      </c>
      <c r="F18" s="2">
        <f t="shared" si="4"/>
        <v>6.9301224827364546E-2</v>
      </c>
      <c r="H18" s="8">
        <f t="shared" si="5"/>
        <v>0.37680171415851887</v>
      </c>
      <c r="I18" s="21">
        <f t="shared" si="12"/>
        <v>6</v>
      </c>
      <c r="J18" s="88">
        <f t="shared" si="6"/>
        <v>510</v>
      </c>
      <c r="K18" s="2">
        <f t="shared" si="7"/>
        <v>3.4596223629989549</v>
      </c>
      <c r="L18" s="2">
        <f t="shared" si="8"/>
        <v>29.406790085491117</v>
      </c>
      <c r="M18" s="2">
        <f t="shared" si="9"/>
        <v>0.21890910733616217</v>
      </c>
      <c r="P18" s="36" t="s">
        <v>69</v>
      </c>
      <c r="Q18" s="37">
        <f>SUM(Q14:Q17)</f>
        <v>2.831</v>
      </c>
      <c r="R18" s="37">
        <f>SUM(R14:R17)</f>
        <v>2.8620000000000001</v>
      </c>
      <c r="S18" s="93"/>
      <c r="U18" s="92">
        <f t="shared" si="13"/>
        <v>2.5000000000000004</v>
      </c>
      <c r="V18" s="90">
        <f t="shared" si="2"/>
        <v>443.57299766847353</v>
      </c>
      <c r="W18" s="89">
        <f t="shared" si="10"/>
        <v>1.7867589676453979</v>
      </c>
      <c r="Y18">
        <v>0.8</v>
      </c>
      <c r="Z18">
        <v>0.5</v>
      </c>
      <c r="AA18" t="s">
        <v>30</v>
      </c>
    </row>
    <row r="19" spans="1:27">
      <c r="A19" s="9"/>
      <c r="B19" s="20">
        <f t="shared" si="11"/>
        <v>1.4000000000000002E-3</v>
      </c>
      <c r="C19" s="8">
        <f t="shared" si="0"/>
        <v>0.14280000000000001</v>
      </c>
      <c r="D19" s="2">
        <f t="shared" si="3"/>
        <v>10.884472794483031</v>
      </c>
      <c r="E19" s="3">
        <f t="shared" si="1"/>
        <v>188.76868604319955</v>
      </c>
      <c r="F19" s="2">
        <f t="shared" si="4"/>
        <v>8.10258520681119E-2</v>
      </c>
      <c r="H19" s="8">
        <f t="shared" si="5"/>
        <v>0.43710041143929473</v>
      </c>
      <c r="I19" s="21">
        <f t="shared" si="12"/>
        <v>7</v>
      </c>
      <c r="J19" s="88">
        <f t="shared" si="6"/>
        <v>595</v>
      </c>
      <c r="K19" s="2">
        <f t="shared" si="7"/>
        <v>4.0362260901654476</v>
      </c>
      <c r="L19" s="2">
        <f t="shared" si="8"/>
        <v>34.307921766406302</v>
      </c>
      <c r="M19" s="2">
        <f t="shared" si="9"/>
        <v>0.25539395855885583</v>
      </c>
      <c r="P19" s="38" t="s">
        <v>70</v>
      </c>
      <c r="Q19" s="39">
        <v>-0.05</v>
      </c>
      <c r="R19" s="39">
        <v>-7.4999999999999997E-2</v>
      </c>
      <c r="S19" s="93"/>
      <c r="U19" s="92">
        <f t="shared" si="13"/>
        <v>2.6000000000000005</v>
      </c>
      <c r="V19" s="90">
        <f t="shared" si="2"/>
        <v>451.94117767850389</v>
      </c>
      <c r="W19" s="89">
        <f t="shared" si="10"/>
        <v>1.8770630684730636</v>
      </c>
      <c r="Y19">
        <v>1.02</v>
      </c>
      <c r="Z19">
        <v>0.66</v>
      </c>
    </row>
    <row r="20" spans="1:27">
      <c r="A20" s="9"/>
      <c r="B20" s="20">
        <f t="shared" si="11"/>
        <v>1.6000000000000003E-3</v>
      </c>
      <c r="C20" s="8">
        <f t="shared" si="0"/>
        <v>0.16320000000000001</v>
      </c>
      <c r="D20" s="2">
        <f t="shared" si="3"/>
        <v>12.465497532294933</v>
      </c>
      <c r="E20" s="3">
        <f t="shared" si="1"/>
        <v>216.18829266942217</v>
      </c>
      <c r="F20" s="2">
        <f t="shared" si="4"/>
        <v>9.2795266989788586E-2</v>
      </c>
      <c r="H20" s="8">
        <f t="shared" si="5"/>
        <v>0.49672706254780896</v>
      </c>
      <c r="I20" s="21">
        <f t="shared" si="12"/>
        <v>8</v>
      </c>
      <c r="J20" s="88">
        <f t="shared" si="6"/>
        <v>680</v>
      </c>
      <c r="K20" s="2">
        <f t="shared" si="7"/>
        <v>4.6128298173319395</v>
      </c>
      <c r="L20" s="2">
        <f t="shared" si="8"/>
        <v>39.209053447321487</v>
      </c>
      <c r="M20" s="2">
        <f t="shared" si="9"/>
        <v>0.29187880978154956</v>
      </c>
      <c r="P20" s="38" t="s">
        <v>71</v>
      </c>
      <c r="Q20" s="39">
        <v>0.4</v>
      </c>
      <c r="R20" s="39">
        <v>0.17</v>
      </c>
      <c r="S20" s="93"/>
      <c r="U20" s="92">
        <f t="shared" si="13"/>
        <v>2.7000000000000006</v>
      </c>
      <c r="V20" s="90">
        <f t="shared" si="2"/>
        <v>460.46722671358407</v>
      </c>
      <c r="W20" s="89">
        <f t="shared" si="10"/>
        <v>1.9690707918732093</v>
      </c>
      <c r="Y20">
        <f>Y13+Y14+Y17+Y18+Y19+Y16</f>
        <v>4.4300000000000006</v>
      </c>
      <c r="Z20">
        <v>3.9</v>
      </c>
    </row>
    <row r="21" spans="1:27">
      <c r="A21" s="9"/>
      <c r="B21" s="20">
        <f t="shared" si="11"/>
        <v>1.8000000000000004E-3</v>
      </c>
      <c r="C21" s="8">
        <f t="shared" si="0"/>
        <v>0.18360000000000004</v>
      </c>
      <c r="D21" s="2">
        <f t="shared" si="3"/>
        <v>14.052561731323351</v>
      </c>
      <c r="E21" s="3">
        <f t="shared" si="1"/>
        <v>243.7126412688921</v>
      </c>
      <c r="F21" s="2">
        <f t="shared" si="4"/>
        <v>0.10460964067982643</v>
      </c>
      <c r="H21" s="8">
        <f t="shared" si="5"/>
        <v>0.55569648280710648</v>
      </c>
      <c r="I21" s="21">
        <f t="shared" si="12"/>
        <v>9</v>
      </c>
      <c r="J21" s="88">
        <f t="shared" si="6"/>
        <v>765</v>
      </c>
      <c r="K21" s="2">
        <f t="shared" si="7"/>
        <v>5.1894335444984323</v>
      </c>
      <c r="L21" s="2">
        <f t="shared" si="8"/>
        <v>44.110185128236672</v>
      </c>
      <c r="M21" s="2">
        <f t="shared" si="9"/>
        <v>0.32836366100424319</v>
      </c>
      <c r="P21" s="40" t="s">
        <v>72</v>
      </c>
      <c r="Q21" s="41">
        <f>SUM(Q19:Q20)</f>
        <v>0.35000000000000003</v>
      </c>
      <c r="R21" s="41">
        <v>0.14000000000000001</v>
      </c>
      <c r="S21" s="93"/>
      <c r="U21" s="92">
        <f t="shared" si="13"/>
        <v>2.8000000000000007</v>
      </c>
      <c r="V21" s="90">
        <f t="shared" si="2"/>
        <v>469.1541230352999</v>
      </c>
      <c r="W21" s="89">
        <f t="shared" si="10"/>
        <v>2.0628142773593514</v>
      </c>
      <c r="Y21">
        <f>Y13+Y14+Y17+Y18+Y19+Y16</f>
        <v>4.4300000000000006</v>
      </c>
      <c r="Z21">
        <f>Z13+Z14+Z17+Z18+Z19+Z16</f>
        <v>3.41</v>
      </c>
    </row>
    <row r="22" spans="1:27">
      <c r="A22" s="9"/>
      <c r="B22" s="20">
        <f t="shared" si="11"/>
        <v>2.0000000000000005E-3</v>
      </c>
      <c r="C22" s="8">
        <f t="shared" si="0"/>
        <v>0.20400000000000007</v>
      </c>
      <c r="D22" s="2">
        <f t="shared" si="3"/>
        <v>15.645688462106648</v>
      </c>
      <c r="E22" s="3">
        <f t="shared" si="1"/>
        <v>271.34213195241807</v>
      </c>
      <c r="F22" s="2">
        <f t="shared" si="4"/>
        <v>0.11646914487920582</v>
      </c>
      <c r="H22" s="8">
        <f t="shared" si="5"/>
        <v>0.61402300296874046</v>
      </c>
      <c r="I22" s="21">
        <f t="shared" si="12"/>
        <v>10</v>
      </c>
      <c r="J22" s="88">
        <f t="shared" si="6"/>
        <v>850</v>
      </c>
      <c r="K22" s="2">
        <f t="shared" si="7"/>
        <v>5.7660372716649251</v>
      </c>
      <c r="L22" s="2">
        <f t="shared" si="8"/>
        <v>49.011316809151857</v>
      </c>
      <c r="M22" s="2">
        <f t="shared" si="9"/>
        <v>0.36484851222693693</v>
      </c>
      <c r="P22" s="42" t="s">
        <v>73</v>
      </c>
      <c r="Q22" s="43">
        <v>7.2999999999999995E-2</v>
      </c>
      <c r="R22" s="43">
        <f>Q22/2</f>
        <v>3.6499999999999998E-2</v>
      </c>
      <c r="S22" s="94" t="s">
        <v>157</v>
      </c>
      <c r="U22" s="92">
        <f t="shared" si="13"/>
        <v>2.9000000000000008</v>
      </c>
      <c r="V22" s="90">
        <f t="shared" si="2"/>
        <v>478.00490109132039</v>
      </c>
      <c r="W22" s="89">
        <f t="shared" si="10"/>
        <v>2.1583262707696447</v>
      </c>
      <c r="Z22">
        <f>Z21-Z20</f>
        <v>-0.48999999999999977</v>
      </c>
    </row>
    <row r="23" spans="1:27">
      <c r="A23" s="9"/>
      <c r="B23" s="20">
        <f t="shared" si="11"/>
        <v>2.2000000000000006E-3</v>
      </c>
      <c r="C23" s="8">
        <f t="shared" si="0"/>
        <v>0.22440000000000004</v>
      </c>
      <c r="D23" s="2">
        <f t="shared" si="3"/>
        <v>17.2449008833118</v>
      </c>
      <c r="E23" s="3">
        <f t="shared" si="1"/>
        <v>299.07716635921764</v>
      </c>
      <c r="F23" s="2">
        <f t="shared" si="4"/>
        <v>0.12837395198495136</v>
      </c>
      <c r="H23" s="8">
        <f t="shared" si="5"/>
        <v>0.67172049011720181</v>
      </c>
      <c r="I23" s="21">
        <f t="shared" si="12"/>
        <v>11</v>
      </c>
      <c r="J23" s="88">
        <f t="shared" si="6"/>
        <v>935</v>
      </c>
      <c r="K23" s="2">
        <f t="shared" si="7"/>
        <v>6.342640998831417</v>
      </c>
      <c r="L23" s="2">
        <f t="shared" si="8"/>
        <v>53.91244849006705</v>
      </c>
      <c r="M23" s="2">
        <f t="shared" si="9"/>
        <v>0.40133336344963066</v>
      </c>
      <c r="P23" s="44" t="s">
        <v>74</v>
      </c>
      <c r="Q23" s="45">
        <v>-0.15</v>
      </c>
      <c r="R23" s="45">
        <v>-0.25</v>
      </c>
      <c r="S23" s="95"/>
      <c r="U23" s="92">
        <f t="shared" si="13"/>
        <v>3.0000000000000009</v>
      </c>
      <c r="V23" s="90">
        <f t="shared" si="2"/>
        <v>487.02265257536942</v>
      </c>
      <c r="W23" s="89">
        <f t="shared" si="10"/>
        <v>2.2556401357054252</v>
      </c>
    </row>
    <row r="24" spans="1:27">
      <c r="A24" s="9"/>
      <c r="B24" s="20">
        <f t="shared" si="11"/>
        <v>2.4000000000000007E-3</v>
      </c>
      <c r="C24" s="8">
        <f t="shared" si="0"/>
        <v>0.24480000000000005</v>
      </c>
      <c r="D24" s="2">
        <f t="shared" si="3"/>
        <v>18.85022224207114</v>
      </c>
      <c r="E24" s="3">
        <f t="shared" si="1"/>
        <v>326.91814766275695</v>
      </c>
      <c r="F24" s="2">
        <f t="shared" si="4"/>
        <v>0.14032423505263877</v>
      </c>
      <c r="H24" s="8">
        <f t="shared" si="5"/>
        <v>0.72880236745909399</v>
      </c>
      <c r="I24" s="21">
        <f t="shared" si="12"/>
        <v>12</v>
      </c>
      <c r="J24" s="88">
        <f t="shared" si="6"/>
        <v>1020</v>
      </c>
      <c r="K24" s="2">
        <f t="shared" si="7"/>
        <v>6.9192447259979097</v>
      </c>
      <c r="L24" s="2">
        <f t="shared" si="8"/>
        <v>58.813580170982235</v>
      </c>
      <c r="M24" s="2">
        <f t="shared" si="9"/>
        <v>0.43781821467232435</v>
      </c>
      <c r="P24" s="44" t="s">
        <v>75</v>
      </c>
      <c r="Q24" s="45">
        <v>0.04</v>
      </c>
      <c r="R24" s="45">
        <v>0.01</v>
      </c>
      <c r="S24" s="95"/>
      <c r="U24" s="92">
        <f t="shared" si="13"/>
        <v>3.100000000000001</v>
      </c>
      <c r="V24" s="90">
        <f t="shared" si="2"/>
        <v>496.21052750719559</v>
      </c>
      <c r="W24" s="89">
        <f t="shared" si="10"/>
        <v>2.3547898651855639</v>
      </c>
    </row>
    <row r="25" spans="1:27">
      <c r="A25" s="9"/>
      <c r="B25" s="20">
        <f t="shared" si="11"/>
        <v>2.6000000000000007E-3</v>
      </c>
      <c r="C25" s="8">
        <f t="shared" si="0"/>
        <v>0.26520000000000005</v>
      </c>
      <c r="D25" s="2">
        <f t="shared" si="3"/>
        <v>20.461675874320179</v>
      </c>
      <c r="E25" s="3">
        <f t="shared" si="1"/>
        <v>354.86548057660985</v>
      </c>
      <c r="F25" s="2">
        <f t="shared" si="4"/>
        <v>0.15232016779890953</v>
      </c>
      <c r="H25" s="8">
        <f t="shared" si="5"/>
        <v>0.78528163306769294</v>
      </c>
      <c r="I25" s="21">
        <f t="shared" si="12"/>
        <v>13</v>
      </c>
      <c r="J25" s="88">
        <f t="shared" si="6"/>
        <v>1105</v>
      </c>
      <c r="K25" s="2">
        <f t="shared" si="7"/>
        <v>7.4958484531644025</v>
      </c>
      <c r="L25" s="2">
        <f t="shared" si="8"/>
        <v>63.71471185189742</v>
      </c>
      <c r="M25" s="2">
        <f t="shared" si="9"/>
        <v>0.47430306589501803</v>
      </c>
      <c r="P25" s="46" t="s">
        <v>76</v>
      </c>
      <c r="Q25" s="47">
        <f>SUM(Q23:Q24)</f>
        <v>-0.10999999999999999</v>
      </c>
      <c r="R25" s="47">
        <f>SUM(R23:R24)</f>
        <v>-0.24</v>
      </c>
      <c r="S25" s="95"/>
      <c r="U25" s="92">
        <f t="shared" si="13"/>
        <v>3.2000000000000011</v>
      </c>
      <c r="V25" s="90">
        <f t="shared" si="2"/>
        <v>505.57173533291609</v>
      </c>
      <c r="W25" s="89">
        <f t="shared" si="10"/>
        <v>2.455810093520677</v>
      </c>
    </row>
    <row r="26" spans="1:27">
      <c r="A26" s="9"/>
      <c r="B26" s="20">
        <f t="shared" si="11"/>
        <v>2.8000000000000008E-3</v>
      </c>
      <c r="C26" s="8">
        <f t="shared" si="0"/>
        <v>0.28560000000000008</v>
      </c>
      <c r="D26" s="2">
        <f t="shared" si="3"/>
        <v>22.079285205137069</v>
      </c>
      <c r="E26" s="3">
        <f t="shared" si="1"/>
        <v>382.91957136034512</v>
      </c>
      <c r="F26" s="2">
        <f t="shared" si="4"/>
        <v>0.16436192460399804</v>
      </c>
      <c r="H26" s="8">
        <f t="shared" si="5"/>
        <v>0.8411708776483845</v>
      </c>
      <c r="I26" s="21">
        <f t="shared" si="12"/>
        <v>14</v>
      </c>
      <c r="J26" s="88">
        <f t="shared" si="6"/>
        <v>1190</v>
      </c>
      <c r="K26" s="2">
        <f t="shared" si="7"/>
        <v>8.0724521803308953</v>
      </c>
      <c r="L26" s="2">
        <f t="shared" si="8"/>
        <v>68.615843532812605</v>
      </c>
      <c r="M26" s="2">
        <f t="shared" si="9"/>
        <v>0.51078791711771165</v>
      </c>
      <c r="P26" s="48" t="s">
        <v>77</v>
      </c>
      <c r="Q26" s="49">
        <v>0.05</v>
      </c>
      <c r="R26" s="49">
        <f>Q26/2</f>
        <v>2.5000000000000001E-2</v>
      </c>
      <c r="S26" s="95"/>
      <c r="U26" s="92">
        <f t="shared" si="13"/>
        <v>3.3000000000000012</v>
      </c>
      <c r="V26" s="90">
        <f t="shared" si="2"/>
        <v>515.10954604611766</v>
      </c>
      <c r="W26" s="89">
        <f t="shared" si="10"/>
        <v>2.5587361084113418</v>
      </c>
    </row>
    <row r="27" spans="1:27">
      <c r="A27" s="9"/>
      <c r="B27" s="20">
        <f t="shared" si="11"/>
        <v>3.0000000000000009E-3</v>
      </c>
      <c r="C27" s="8">
        <f t="shared" si="0"/>
        <v>0.30600000000000005</v>
      </c>
      <c r="D27" s="2">
        <f t="shared" si="3"/>
        <v>23.703073749082819</v>
      </c>
      <c r="E27" s="3">
        <f t="shared" ref="E27:E38" si="14">D27*$A$5</f>
        <v>411.08082782542664</v>
      </c>
      <c r="F27" s="2">
        <f t="shared" si="4"/>
        <v>0.17644968051426416</v>
      </c>
      <c r="H27" s="8">
        <f t="shared" si="5"/>
        <v>0.8964823013857034</v>
      </c>
      <c r="I27" s="21">
        <f t="shared" si="12"/>
        <v>15</v>
      </c>
      <c r="J27" s="88">
        <f t="shared" si="6"/>
        <v>1275</v>
      </c>
      <c r="K27" s="2">
        <f t="shared" si="7"/>
        <v>8.6490559074973881</v>
      </c>
      <c r="L27" s="2">
        <f t="shared" si="8"/>
        <v>73.51697521372779</v>
      </c>
      <c r="M27" s="2">
        <f t="shared" si="9"/>
        <v>0.54727276834040539</v>
      </c>
      <c r="P27" s="50" t="s">
        <v>78</v>
      </c>
      <c r="Q27" s="51">
        <v>-0.45</v>
      </c>
      <c r="R27" s="51">
        <v>-0.127</v>
      </c>
      <c r="S27" s="95"/>
      <c r="U27" s="92">
        <f t="shared" si="13"/>
        <v>3.4000000000000012</v>
      </c>
      <c r="V27" s="90">
        <f t="shared" si="2"/>
        <v>524.82729133010957</v>
      </c>
      <c r="W27" s="89">
        <f t="shared" si="10"/>
        <v>2.6636038632745636</v>
      </c>
    </row>
    <row r="28" spans="1:27">
      <c r="A28" s="9"/>
      <c r="B28" s="20">
        <f t="shared" si="11"/>
        <v>3.200000000000001E-3</v>
      </c>
      <c r="C28" s="8">
        <f t="shared" si="0"/>
        <v>0.32640000000000008</v>
      </c>
      <c r="D28" s="2">
        <f t="shared" si="3"/>
        <v>25.33306511054343</v>
      </c>
      <c r="E28" s="3">
        <f t="shared" si="14"/>
        <v>439.34965934114729</v>
      </c>
      <c r="F28" s="2">
        <f t="shared" si="4"/>
        <v>0.18858361124474018</v>
      </c>
      <c r="H28" s="8">
        <f t="shared" si="5"/>
        <v>0.95122772992838611</v>
      </c>
      <c r="I28" s="21">
        <f t="shared" si="12"/>
        <v>16</v>
      </c>
      <c r="J28" s="88">
        <f t="shared" si="6"/>
        <v>1360</v>
      </c>
      <c r="K28" s="2">
        <f t="shared" si="7"/>
        <v>9.2256596346638791</v>
      </c>
      <c r="L28" s="2">
        <f t="shared" si="8"/>
        <v>78.418106894642975</v>
      </c>
      <c r="M28" s="2">
        <f t="shared" si="9"/>
        <v>0.58375761956309913</v>
      </c>
      <c r="P28" s="50" t="s">
        <v>79</v>
      </c>
      <c r="Q28" s="51">
        <v>-0.45</v>
      </c>
      <c r="R28" s="51">
        <v>-0.127</v>
      </c>
      <c r="S28" s="95"/>
      <c r="U28" s="92">
        <f t="shared" si="13"/>
        <v>3.5000000000000013</v>
      </c>
      <c r="V28" s="90">
        <f t="shared" si="2"/>
        <v>534.72836572172412</v>
      </c>
      <c r="W28" s="89">
        <f t="shared" si="10"/>
        <v>2.7704499898027781</v>
      </c>
    </row>
    <row r="29" spans="1:27">
      <c r="A29" s="9"/>
      <c r="B29" s="20">
        <f t="shared" si="11"/>
        <v>3.4000000000000011E-3</v>
      </c>
      <c r="C29" s="8">
        <f t="shared" si="0"/>
        <v>0.34680000000000011</v>
      </c>
      <c r="D29" s="2">
        <f t="shared" si="3"/>
        <v>26.96928298407272</v>
      </c>
      <c r="E29" s="3">
        <f t="shared" si="14"/>
        <v>467.72647684057421</v>
      </c>
      <c r="F29" s="2">
        <f t="shared" si="4"/>
        <v>0.20076389318168278</v>
      </c>
      <c r="H29" s="8">
        <f t="shared" si="5"/>
        <v>1.0054186295647984</v>
      </c>
      <c r="I29" s="21">
        <f t="shared" si="12"/>
        <v>17</v>
      </c>
      <c r="J29" s="88">
        <f t="shared" si="6"/>
        <v>1445</v>
      </c>
      <c r="K29" s="2">
        <f t="shared" si="7"/>
        <v>9.8022633618303718</v>
      </c>
      <c r="L29" s="2">
        <f t="shared" si="8"/>
        <v>83.31923857555816</v>
      </c>
      <c r="M29" s="2">
        <f t="shared" si="9"/>
        <v>0.62024247078579275</v>
      </c>
      <c r="P29" s="52" t="s">
        <v>80</v>
      </c>
      <c r="Q29" s="53">
        <f>SUM(Q27:Q28)</f>
        <v>-0.9</v>
      </c>
      <c r="R29" s="53">
        <f>SUM(R27:R28)</f>
        <v>-0.254</v>
      </c>
      <c r="S29" s="95"/>
      <c r="U29" s="92">
        <f t="shared" si="13"/>
        <v>3.6000000000000014</v>
      </c>
      <c r="V29" s="90">
        <f t="shared" si="2"/>
        <v>544.81622779707322</v>
      </c>
      <c r="W29" s="89">
        <f t="shared" si="10"/>
        <v>2.8793118107597828</v>
      </c>
    </row>
    <row r="30" spans="1:27">
      <c r="A30" s="9"/>
      <c r="B30" s="20">
        <f t="shared" si="11"/>
        <v>3.6000000000000012E-3</v>
      </c>
      <c r="C30" s="8">
        <f t="shared" si="0"/>
        <v>0.36720000000000008</v>
      </c>
      <c r="D30" s="2">
        <f t="shared" si="3"/>
        <v>28.611751154736851</v>
      </c>
      <c r="E30" s="3">
        <f t="shared" si="14"/>
        <v>496.21169282652414</v>
      </c>
      <c r="F30" s="2">
        <f t="shared" si="4"/>
        <v>0.21299070338513784</v>
      </c>
      <c r="H30" s="8">
        <f t="shared" si="5"/>
        <v>1.0590661216374768</v>
      </c>
      <c r="I30" s="21">
        <f t="shared" si="12"/>
        <v>18</v>
      </c>
      <c r="J30" s="88">
        <f t="shared" si="6"/>
        <v>1530</v>
      </c>
      <c r="K30" s="2">
        <f t="shared" si="7"/>
        <v>10.378867088996865</v>
      </c>
      <c r="L30" s="2">
        <f t="shared" si="8"/>
        <v>88.220370256473345</v>
      </c>
      <c r="M30" s="2">
        <f t="shared" si="9"/>
        <v>0.65672732200848638</v>
      </c>
      <c r="P30" s="54" t="s">
        <v>81</v>
      </c>
      <c r="Q30" s="55">
        <f>Q29+Q26+Q25+Q22+Q21+Q18</f>
        <v>2.294</v>
      </c>
      <c r="R30" s="55">
        <f>R29+R26+R25+R22+R21+R18</f>
        <v>2.5695000000000001</v>
      </c>
      <c r="S30" s="81"/>
      <c r="U30" s="92">
        <f t="shared" si="13"/>
        <v>3.7000000000000015</v>
      </c>
      <c r="V30" s="90">
        <f t="shared" si="2"/>
        <v>555.09440137967522</v>
      </c>
      <c r="W30" s="89">
        <f t="shared" si="10"/>
        <v>2.9902273530180778</v>
      </c>
    </row>
    <row r="31" spans="1:27">
      <c r="A31" s="9"/>
      <c r="B31" s="20">
        <f t="shared" si="11"/>
        <v>3.8000000000000013E-3</v>
      </c>
      <c r="C31" s="8">
        <f t="shared" si="0"/>
        <v>0.38760000000000017</v>
      </c>
      <c r="D31" s="2">
        <f t="shared" si="3"/>
        <v>30.260493498460391</v>
      </c>
      <c r="E31" s="3">
        <f t="shared" si="14"/>
        <v>524.80572137756531</v>
      </c>
      <c r="F31" s="2">
        <f t="shared" si="4"/>
        <v>0.22526421959151657</v>
      </c>
      <c r="H31" s="8">
        <f t="shared" si="5"/>
        <v>1.1121809962421003</v>
      </c>
      <c r="I31" s="21">
        <f t="shared" si="12"/>
        <v>19</v>
      </c>
      <c r="J31" s="88">
        <f t="shared" si="6"/>
        <v>1615</v>
      </c>
      <c r="K31" s="2">
        <f t="shared" si="7"/>
        <v>10.955470816163357</v>
      </c>
      <c r="L31" s="2">
        <f t="shared" si="8"/>
        <v>93.12150193738853</v>
      </c>
      <c r="M31" s="2">
        <f t="shared" si="9"/>
        <v>0.69321217323118012</v>
      </c>
      <c r="P31" s="56" t="s">
        <v>82</v>
      </c>
      <c r="Q31" s="57">
        <v>0.03</v>
      </c>
      <c r="R31" s="57">
        <v>0.03</v>
      </c>
      <c r="S31" s="81"/>
      <c r="U31" s="92">
        <f t="shared" si="13"/>
        <v>3.8000000000000016</v>
      </c>
      <c r="V31" s="90">
        <f t="shared" si="2"/>
        <v>565.56647677137187</v>
      </c>
      <c r="W31" s="89">
        <f t="shared" si="10"/>
        <v>3.1032353608421426</v>
      </c>
    </row>
    <row r="32" spans="1:27">
      <c r="A32" s="9"/>
      <c r="B32" s="20">
        <f t="shared" si="11"/>
        <v>4.000000000000001E-3</v>
      </c>
      <c r="C32" s="8">
        <f t="shared" si="0"/>
        <v>0.40800000000000014</v>
      </c>
      <c r="D32" s="2">
        <f t="shared" si="3"/>
        <v>31.915533982372892</v>
      </c>
      <c r="E32" s="3">
        <f t="shared" si="14"/>
        <v>553.50897815402755</v>
      </c>
      <c r="F32" s="2">
        <f t="shared" si="4"/>
        <v>0.23758462021617538</v>
      </c>
      <c r="H32" s="8">
        <f t="shared" si="5"/>
        <v>1.1647737252530965</v>
      </c>
      <c r="I32" s="21">
        <f t="shared" si="12"/>
        <v>20</v>
      </c>
      <c r="J32" s="88">
        <f t="shared" si="6"/>
        <v>1700</v>
      </c>
      <c r="K32" s="2">
        <f t="shared" si="7"/>
        <v>11.53207454332985</v>
      </c>
      <c r="L32" s="2">
        <f t="shared" si="8"/>
        <v>98.022633618303715</v>
      </c>
      <c r="M32" s="2">
        <f t="shared" si="9"/>
        <v>0.72969702445387385</v>
      </c>
      <c r="P32" s="54" t="s">
        <v>83</v>
      </c>
      <c r="Q32" s="55">
        <f>SUM(Q30:Q31)</f>
        <v>2.3239999999999998</v>
      </c>
      <c r="R32" s="55">
        <f>SUM(R30:R31)</f>
        <v>2.5994999999999999</v>
      </c>
      <c r="S32" s="81"/>
      <c r="U32" s="92">
        <f t="shared" si="13"/>
        <v>3.9000000000000017</v>
      </c>
      <c r="V32" s="90">
        <f t="shared" si="2"/>
        <v>576.23611200646985</v>
      </c>
      <c r="W32" s="89">
        <f t="shared" si="10"/>
        <v>3.2183753094223366</v>
      </c>
    </row>
    <row r="33" spans="1:24">
      <c r="A33" s="9"/>
      <c r="B33" s="20">
        <f t="shared" si="11"/>
        <v>4.2000000000000006E-3</v>
      </c>
      <c r="C33" s="8">
        <f t="shared" si="0"/>
        <v>0.42840000000000006</v>
      </c>
      <c r="D33" s="2">
        <f t="shared" si="3"/>
        <v>33.576896665157619</v>
      </c>
      <c r="E33" s="3">
        <f t="shared" si="14"/>
        <v>582.32188040405083</v>
      </c>
      <c r="F33" s="2">
        <f t="shared" si="4"/>
        <v>0.24995208435601204</v>
      </c>
      <c r="H33" s="8">
        <f t="shared" si="5"/>
        <v>1.2168544747152226</v>
      </c>
      <c r="I33" s="21">
        <f t="shared" si="12"/>
        <v>21</v>
      </c>
      <c r="J33" s="88">
        <f t="shared" si="6"/>
        <v>1785</v>
      </c>
      <c r="K33" s="2">
        <f t="shared" si="7"/>
        <v>12.108678270496343</v>
      </c>
      <c r="L33" s="2">
        <f t="shared" si="8"/>
        <v>102.92376529921891</v>
      </c>
      <c r="M33" s="2">
        <f t="shared" si="9"/>
        <v>0.76618187567656759</v>
      </c>
      <c r="P33" s="58" t="s">
        <v>88</v>
      </c>
      <c r="Q33" s="59">
        <v>1.7</v>
      </c>
      <c r="R33" s="59">
        <v>1.98</v>
      </c>
      <c r="S33" s="81"/>
      <c r="U33" s="92">
        <f t="shared" si="13"/>
        <v>4.0000000000000018</v>
      </c>
      <c r="V33" s="90">
        <f t="shared" si="2"/>
        <v>587.10703412953865</v>
      </c>
      <c r="W33" s="89">
        <f t="shared" si="10"/>
        <v>3.3356874186640861</v>
      </c>
    </row>
    <row r="34" spans="1:24">
      <c r="A34" s="9"/>
      <c r="B34" s="20">
        <f t="shared" si="11"/>
        <v>4.4000000000000003E-3</v>
      </c>
      <c r="C34" s="8">
        <f t="shared" si="0"/>
        <v>0.44879999999999998</v>
      </c>
      <c r="D34" s="2">
        <f t="shared" si="3"/>
        <v>35.244605697401312</v>
      </c>
      <c r="E34" s="3">
        <f t="shared" si="14"/>
        <v>611.24484696965101</v>
      </c>
      <c r="F34" s="2">
        <f t="shared" si="4"/>
        <v>0.26236679179206934</v>
      </c>
      <c r="H34" s="8">
        <f t="shared" si="5"/>
        <v>1.2684331166377907</v>
      </c>
      <c r="I34" s="21">
        <f t="shared" si="12"/>
        <v>22</v>
      </c>
      <c r="J34" s="88">
        <f t="shared" si="6"/>
        <v>1870</v>
      </c>
      <c r="K34" s="2">
        <f t="shared" si="7"/>
        <v>12.685281997662834</v>
      </c>
      <c r="L34" s="2">
        <f t="shared" si="8"/>
        <v>107.8248969801341</v>
      </c>
      <c r="M34" s="2">
        <f t="shared" si="9"/>
        <v>0.80266672689926133</v>
      </c>
      <c r="U34" s="92">
        <f t="shared" si="13"/>
        <v>4.1000000000000014</v>
      </c>
      <c r="V34" s="90">
        <f t="shared" si="2"/>
        <v>598.18304049731819</v>
      </c>
      <c r="W34" s="89">
        <f t="shared" si="10"/>
        <v>3.4552126672372467</v>
      </c>
    </row>
    <row r="35" spans="1:24">
      <c r="A35" s="9"/>
      <c r="B35" s="20">
        <f t="shared" si="11"/>
        <v>4.5999999999999999E-3</v>
      </c>
      <c r="C35" s="8">
        <f t="shared" si="0"/>
        <v>0.46920000000000001</v>
      </c>
      <c r="D35" s="2">
        <f t="shared" si="3"/>
        <v>36.918685321944849</v>
      </c>
      <c r="E35" s="3">
        <f t="shared" si="14"/>
        <v>640.27829829280131</v>
      </c>
      <c r="F35" s="2">
        <f t="shared" si="4"/>
        <v>0.27482892299214529</v>
      </c>
      <c r="H35" s="8">
        <f t="shared" si="5"/>
        <v>1.319519240225772</v>
      </c>
      <c r="I35" s="21">
        <f t="shared" si="12"/>
        <v>23</v>
      </c>
      <c r="J35" s="88">
        <f t="shared" si="6"/>
        <v>1955</v>
      </c>
      <c r="K35" s="2">
        <f t="shared" si="7"/>
        <v>13.261885724829327</v>
      </c>
      <c r="L35" s="2">
        <f t="shared" si="8"/>
        <v>112.72602866104928</v>
      </c>
      <c r="M35" s="2">
        <f t="shared" si="9"/>
        <v>0.83915157812195496</v>
      </c>
      <c r="P35" s="82"/>
      <c r="Q35" s="83"/>
      <c r="R35" s="83"/>
      <c r="S35" s="84"/>
      <c r="T35" s="84"/>
      <c r="U35" s="92">
        <f t="shared" si="13"/>
        <v>4.2000000000000011</v>
      </c>
      <c r="V35" s="90">
        <f t="shared" si="2"/>
        <v>609.46800010518439</v>
      </c>
      <c r="W35" s="89">
        <f t="shared" si="10"/>
        <v>3.576992806890479</v>
      </c>
      <c r="X35" s="84"/>
    </row>
    <row r="36" spans="1:24">
      <c r="A36" s="9"/>
      <c r="B36" s="20">
        <f t="shared" si="11"/>
        <v>4.7999999999999996E-3</v>
      </c>
      <c r="C36" s="8">
        <f t="shared" si="0"/>
        <v>0.48959999999999992</v>
      </c>
      <c r="D36" s="2">
        <f t="shared" si="3"/>
        <v>38.599159874236307</v>
      </c>
      <c r="E36" s="3">
        <f t="shared" si="14"/>
        <v>669.42265642155519</v>
      </c>
      <c r="F36" s="2">
        <f t="shared" si="4"/>
        <v>0.28733865911342166</v>
      </c>
      <c r="H36" s="8">
        <f t="shared" si="5"/>
        <v>1.3701221625797335</v>
      </c>
      <c r="I36" s="21">
        <f t="shared" si="12"/>
        <v>24</v>
      </c>
      <c r="J36" s="88">
        <f t="shared" si="6"/>
        <v>2040</v>
      </c>
      <c r="K36" s="2">
        <f t="shared" si="7"/>
        <v>13.838489451995819</v>
      </c>
      <c r="L36" s="2">
        <f t="shared" si="8"/>
        <v>117.62716034196447</v>
      </c>
      <c r="M36" s="2">
        <f t="shared" si="9"/>
        <v>0.87563642934464869</v>
      </c>
      <c r="P36" s="82"/>
      <c r="Q36" s="83"/>
      <c r="R36" s="83"/>
      <c r="S36" s="84"/>
      <c r="T36" s="84"/>
      <c r="U36" s="92">
        <f t="shared" si="13"/>
        <v>4.3000000000000007</v>
      </c>
      <c r="V36" s="90">
        <f t="shared" si="2"/>
        <v>620.9658549386412</v>
      </c>
      <c r="W36" s="89">
        <f t="shared" si="10"/>
        <v>3.7010703770356961</v>
      </c>
      <c r="X36" s="84"/>
    </row>
    <row r="37" spans="1:24">
      <c r="A37" s="9"/>
      <c r="B37" s="20">
        <f t="shared" si="11"/>
        <v>4.9999999999999992E-3</v>
      </c>
      <c r="C37" s="8">
        <f t="shared" si="0"/>
        <v>0.5099999999999999</v>
      </c>
      <c r="D37" s="2">
        <f t="shared" si="3"/>
        <v>40.286053782684007</v>
      </c>
      <c r="E37" s="3">
        <f t="shared" si="14"/>
        <v>698.67834501616983</v>
      </c>
      <c r="F37" s="2">
        <f t="shared" si="4"/>
        <v>0.29989618200509188</v>
      </c>
      <c r="H37" s="8">
        <f t="shared" si="5"/>
        <v>1.4202509388944677</v>
      </c>
      <c r="I37" s="21">
        <f t="shared" si="12"/>
        <v>25</v>
      </c>
      <c r="J37" s="88">
        <f t="shared" si="6"/>
        <v>2125</v>
      </c>
      <c r="K37" s="2">
        <f t="shared" si="7"/>
        <v>14.415093179162312</v>
      </c>
      <c r="L37" s="2">
        <f t="shared" si="8"/>
        <v>122.52829202287965</v>
      </c>
      <c r="M37" s="2">
        <f t="shared" si="9"/>
        <v>0.91212128056734232</v>
      </c>
      <c r="P37" s="84"/>
      <c r="Q37" s="84"/>
      <c r="R37" s="84"/>
      <c r="S37" s="84"/>
      <c r="T37" s="84"/>
      <c r="U37" s="92">
        <f t="shared" si="13"/>
        <v>4.4000000000000004</v>
      </c>
      <c r="V37" s="90">
        <f t="shared" si="2"/>
        <v>632.680621350308</v>
      </c>
      <c r="W37" s="89">
        <f t="shared" si="10"/>
        <v>3.8274887196076404</v>
      </c>
      <c r="X37" s="84"/>
    </row>
    <row r="38" spans="1:24">
      <c r="B38" s="20">
        <f t="shared" si="11"/>
        <v>5.1999999999999989E-3</v>
      </c>
      <c r="C38" s="8">
        <f t="shared" si="0"/>
        <v>0.53039999999999976</v>
      </c>
      <c r="D38" s="2">
        <f t="shared" si="3"/>
        <v>41.979391569012193</v>
      </c>
      <c r="E38" s="3">
        <f t="shared" si="14"/>
        <v>728.04578935527377</v>
      </c>
      <c r="F38" s="2">
        <f t="shared" si="4"/>
        <v>0.31250167421100888</v>
      </c>
      <c r="H38" s="8">
        <f t="shared" si="5"/>
        <v>1.4699143721842403</v>
      </c>
      <c r="I38" s="21">
        <f t="shared" si="12"/>
        <v>26</v>
      </c>
      <c r="J38" s="88">
        <f t="shared" si="6"/>
        <v>2210</v>
      </c>
      <c r="K38" s="2">
        <f t="shared" si="7"/>
        <v>14.991696906328805</v>
      </c>
      <c r="L38" s="2">
        <f t="shared" si="8"/>
        <v>127.42942370379484</v>
      </c>
      <c r="M38" s="2">
        <f t="shared" si="9"/>
        <v>0.94860613179003606</v>
      </c>
      <c r="P38" s="12"/>
      <c r="Q38" s="84"/>
      <c r="R38" s="85"/>
      <c r="S38" s="84"/>
      <c r="T38" s="84"/>
      <c r="U38" s="92">
        <f t="shared" si="13"/>
        <v>4.5</v>
      </c>
      <c r="V38" s="90">
        <f t="shared" si="2"/>
        <v>644.61639146288428</v>
      </c>
      <c r="W38" s="89">
        <f t="shared" si="10"/>
        <v>3.9562919942037875</v>
      </c>
      <c r="X38" s="84"/>
    </row>
    <row r="39" spans="1:24">
      <c r="B39" s="20">
        <f t="shared" ref="B39:B102" si="15">B38+0.0002</f>
        <v>5.3999999999999986E-3</v>
      </c>
      <c r="C39" s="8">
        <f t="shared" si="0"/>
        <v>0.55079999999999985</v>
      </c>
      <c r="D39" s="2">
        <f t="shared" si="3"/>
        <v>43.679197848617321</v>
      </c>
      <c r="E39" s="3">
        <f t="shared" ref="E39:E62" si="16">D39*$A$5</f>
        <v>757.52541634204681</v>
      </c>
      <c r="F39" s="2">
        <f t="shared" si="4"/>
        <v>0.32515531897233735</v>
      </c>
      <c r="H39" s="8">
        <f t="shared" si="5"/>
        <v>1.5191210225607905</v>
      </c>
      <c r="I39" s="21">
        <f t="shared" si="12"/>
        <v>27</v>
      </c>
      <c r="J39" s="88">
        <f t="shared" si="6"/>
        <v>2295</v>
      </c>
      <c r="K39" s="2">
        <f t="shared" si="7"/>
        <v>15.568300633495298</v>
      </c>
      <c r="L39" s="2">
        <f t="shared" si="8"/>
        <v>132.33055538471001</v>
      </c>
      <c r="M39" s="2">
        <f t="shared" si="9"/>
        <v>0.98509098301272957</v>
      </c>
      <c r="P39" s="12"/>
      <c r="Q39" s="84"/>
      <c r="R39" s="85"/>
      <c r="S39" s="84"/>
      <c r="T39" s="84"/>
      <c r="U39" s="92">
        <f t="shared" si="13"/>
        <v>4.5999999999999996</v>
      </c>
      <c r="V39" s="90">
        <f t="shared" si="2"/>
        <v>656.7773345985828</v>
      </c>
      <c r="W39" s="89">
        <f t="shared" si="10"/>
        <v>4.0875251935098857</v>
      </c>
      <c r="X39" s="84"/>
    </row>
    <row r="40" spans="1:24">
      <c r="A40" s="4"/>
      <c r="B40" s="20">
        <f t="shared" si="15"/>
        <v>5.5999999999999982E-3</v>
      </c>
      <c r="C40" s="8">
        <f t="shared" si="0"/>
        <v>0.57119999999999971</v>
      </c>
      <c r="D40" s="2">
        <f t="shared" si="3"/>
        <v>45.385497330925489</v>
      </c>
      <c r="E40" s="3">
        <f t="shared" si="16"/>
        <v>787.11765451041856</v>
      </c>
      <c r="F40" s="2">
        <f t="shared" si="4"/>
        <v>0.33785730023021454</v>
      </c>
      <c r="H40" s="8">
        <f t="shared" si="5"/>
        <v>1.5678792160885202</v>
      </c>
      <c r="I40" s="21">
        <f t="shared" si="12"/>
        <v>28</v>
      </c>
      <c r="J40" s="88">
        <f t="shared" si="6"/>
        <v>2380</v>
      </c>
      <c r="K40" s="2">
        <f t="shared" si="7"/>
        <v>16.144904360661791</v>
      </c>
      <c r="L40" s="2">
        <f t="shared" si="8"/>
        <v>137.23168706562521</v>
      </c>
      <c r="M40" s="2">
        <f t="shared" si="9"/>
        <v>1.0215758342354233</v>
      </c>
      <c r="P40" s="12"/>
      <c r="Q40" s="84"/>
      <c r="R40" s="85"/>
      <c r="S40" s="84"/>
      <c r="T40" s="84"/>
      <c r="U40" s="92">
        <f t="shared" si="13"/>
        <v>4.6999999999999993</v>
      </c>
      <c r="V40" s="90">
        <f t="shared" si="2"/>
        <v>669.16769873552823</v>
      </c>
      <c r="W40" s="89">
        <f t="shared" si="10"/>
        <v>4.2212341590164923</v>
      </c>
      <c r="X40" s="84"/>
    </row>
    <row r="41" spans="1:24">
      <c r="B41" s="20">
        <f t="shared" si="15"/>
        <v>5.7999999999999979E-3</v>
      </c>
      <c r="C41" s="8">
        <f t="shared" si="0"/>
        <v>0.59159999999999979</v>
      </c>
      <c r="D41" s="2">
        <f t="shared" si="3"/>
        <v>47.098314819752375</v>
      </c>
      <c r="E41" s="3">
        <f t="shared" si="16"/>
        <v>816.82293403131064</v>
      </c>
      <c r="F41" s="2">
        <f t="shared" si="4"/>
        <v>0.35060780262842961</v>
      </c>
      <c r="H41" s="8">
        <f t="shared" si="5"/>
        <v>1.6161970532398082</v>
      </c>
      <c r="I41" s="21">
        <f t="shared" si="12"/>
        <v>29</v>
      </c>
      <c r="J41" s="88">
        <f t="shared" si="6"/>
        <v>2465</v>
      </c>
      <c r="K41" s="2">
        <f t="shared" si="7"/>
        <v>16.721508087828283</v>
      </c>
      <c r="L41" s="2">
        <f t="shared" si="8"/>
        <v>142.13281874654041</v>
      </c>
      <c r="M41" s="2">
        <f t="shared" si="9"/>
        <v>1.0580606854581172</v>
      </c>
      <c r="P41" s="84"/>
      <c r="Q41" s="84"/>
      <c r="R41" s="85"/>
      <c r="S41" s="84"/>
      <c r="T41" s="84"/>
      <c r="U41" s="92">
        <f t="shared" si="13"/>
        <v>4.7999999999999989</v>
      </c>
      <c r="V41" s="90">
        <f t="shared" si="2"/>
        <v>681.79181199163293</v>
      </c>
      <c r="W41" s="89">
        <f t="shared" si="10"/>
        <v>4.35746559703201</v>
      </c>
      <c r="X41" s="84"/>
    </row>
    <row r="42" spans="1:24">
      <c r="B42" s="20">
        <f t="shared" si="15"/>
        <v>5.9999999999999975E-3</v>
      </c>
      <c r="C42" s="8">
        <f t="shared" si="0"/>
        <v>0.61199999999999966</v>
      </c>
      <c r="D42" s="2">
        <f t="shared" si="3"/>
        <v>48.817675213663108</v>
      </c>
      <c r="E42" s="3">
        <f t="shared" si="16"/>
        <v>846.6416867188783</v>
      </c>
      <c r="F42" s="2">
        <f t="shared" si="4"/>
        <v>0.36340701151610255</v>
      </c>
      <c r="H42" s="8">
        <f t="shared" si="5"/>
        <v>1.6640824169719053</v>
      </c>
      <c r="I42" s="21">
        <f t="shared" si="12"/>
        <v>30</v>
      </c>
      <c r="J42" s="88">
        <f t="shared" si="6"/>
        <v>2550</v>
      </c>
      <c r="K42" s="2">
        <f t="shared" si="7"/>
        <v>17.298111814994776</v>
      </c>
      <c r="L42" s="2">
        <f t="shared" si="8"/>
        <v>147.03395042745558</v>
      </c>
      <c r="M42" s="2">
        <f t="shared" si="9"/>
        <v>1.0945455366808108</v>
      </c>
      <c r="P42" s="12"/>
      <c r="Q42" s="84"/>
      <c r="R42" s="85"/>
      <c r="S42" s="84"/>
      <c r="T42" s="84"/>
      <c r="U42" s="92">
        <f t="shared" si="13"/>
        <v>4.8999999999999986</v>
      </c>
      <c r="V42" s="90">
        <f t="shared" si="2"/>
        <v>694.6540841364648</v>
      </c>
      <c r="W42" s="89">
        <f t="shared" si="10"/>
        <v>4.4962670949978216</v>
      </c>
      <c r="X42" s="84"/>
    </row>
    <row r="43" spans="1:24">
      <c r="B43" s="20">
        <f t="shared" si="15"/>
        <v>6.1999999999999972E-3</v>
      </c>
      <c r="C43" s="8">
        <f t="shared" si="0"/>
        <v>0.63239999999999963</v>
      </c>
      <c r="D43" s="2">
        <f t="shared" si="3"/>
        <v>50.543603506334762</v>
      </c>
      <c r="E43" s="3">
        <f t="shared" si="16"/>
        <v>876.57434603679656</v>
      </c>
      <c r="F43" s="2">
        <f t="shared" si="4"/>
        <v>0.37625511295038283</v>
      </c>
      <c r="H43" s="8">
        <f t="shared" si="5"/>
        <v>1.7115429804455637</v>
      </c>
      <c r="I43" s="21">
        <f t="shared" si="12"/>
        <v>31</v>
      </c>
      <c r="J43" s="88">
        <f t="shared" si="6"/>
        <v>2635</v>
      </c>
      <c r="K43" s="2">
        <f t="shared" si="7"/>
        <v>17.874715542161265</v>
      </c>
      <c r="L43" s="2">
        <f t="shared" si="8"/>
        <v>151.93508210837078</v>
      </c>
      <c r="M43" s="2">
        <f t="shared" si="9"/>
        <v>1.1310303879035044</v>
      </c>
      <c r="P43" s="12"/>
      <c r="Q43" s="84"/>
      <c r="R43" s="85"/>
      <c r="S43" s="84"/>
      <c r="T43" s="84"/>
      <c r="U43" s="92">
        <f t="shared" si="13"/>
        <v>4.9999999999999982</v>
      </c>
      <c r="V43" s="90">
        <f t="shared" si="2"/>
        <v>707.75900813163867</v>
      </c>
      <c r="W43" s="89">
        <f t="shared" si="10"/>
        <v>4.6376871381112084</v>
      </c>
      <c r="X43" s="84"/>
    </row>
    <row r="44" spans="1:24">
      <c r="A44" s="6"/>
      <c r="B44" s="20">
        <f t="shared" si="15"/>
        <v>6.3999999999999968E-3</v>
      </c>
      <c r="C44" s="8">
        <f t="shared" si="0"/>
        <v>0.6527999999999996</v>
      </c>
      <c r="D44" s="2">
        <f t="shared" si="3"/>
        <v>52.276124786919013</v>
      </c>
      <c r="E44" s="3">
        <f t="shared" si="16"/>
        <v>906.62134710455052</v>
      </c>
      <c r="F44" s="2">
        <f t="shared" si="4"/>
        <v>0.389152293699149</v>
      </c>
      <c r="H44" s="8">
        <f t="shared" si="5"/>
        <v>1.7585862144043021</v>
      </c>
      <c r="I44" s="21">
        <f t="shared" si="12"/>
        <v>32</v>
      </c>
      <c r="J44" s="88">
        <f t="shared" si="6"/>
        <v>2720</v>
      </c>
      <c r="K44" s="2">
        <f t="shared" si="7"/>
        <v>18.451319269327758</v>
      </c>
      <c r="L44" s="2">
        <f t="shared" si="8"/>
        <v>156.83621378928595</v>
      </c>
      <c r="M44" s="2">
        <f t="shared" si="9"/>
        <v>1.1675152391261983</v>
      </c>
      <c r="P44" s="84"/>
      <c r="Q44" s="84"/>
      <c r="R44" s="84"/>
      <c r="S44" s="84"/>
      <c r="T44" s="84"/>
      <c r="U44" s="92">
        <f t="shared" si="13"/>
        <v>5.0999999999999979</v>
      </c>
      <c r="V44" s="90">
        <f t="shared" si="2"/>
        <v>721.11116170026651</v>
      </c>
      <c r="W44" s="89">
        <f t="shared" si="10"/>
        <v>4.7817751262618682</v>
      </c>
      <c r="X44" s="84"/>
    </row>
    <row r="45" spans="1:24">
      <c r="A45" s="6"/>
      <c r="B45" s="20">
        <f t="shared" si="15"/>
        <v>6.5999999999999965E-3</v>
      </c>
      <c r="C45" s="8">
        <f t="shared" ref="C45:C108" si="17">$B45*((100-$A$9)/100)*$A$4*100</f>
        <v>0.67319999999999947</v>
      </c>
      <c r="D45" s="2">
        <f t="shared" si="3"/>
        <v>54.015264240407703</v>
      </c>
      <c r="E45" s="3">
        <f t="shared" si="16"/>
        <v>936.78312670377466</v>
      </c>
      <c r="F45" s="2">
        <f t="shared" si="4"/>
        <v>0.4020987412437298</v>
      </c>
      <c r="H45" s="8">
        <f t="shared" si="5"/>
        <v>1.8052193942320578</v>
      </c>
      <c r="I45" s="21">
        <f t="shared" si="12"/>
        <v>33</v>
      </c>
      <c r="J45" s="88">
        <f t="shared" si="6"/>
        <v>2805</v>
      </c>
      <c r="K45" s="2">
        <f t="shared" si="7"/>
        <v>19.027922996494251</v>
      </c>
      <c r="L45" s="2">
        <f t="shared" si="8"/>
        <v>161.73734547020115</v>
      </c>
      <c r="M45" s="2">
        <f t="shared" si="9"/>
        <v>1.2040000903488919</v>
      </c>
      <c r="P45" s="12"/>
      <c r="Q45" s="84"/>
      <c r="R45" s="85"/>
      <c r="S45" s="84"/>
      <c r="T45" s="84"/>
      <c r="U45" s="92">
        <f t="shared" si="13"/>
        <v>5.1999999999999975</v>
      </c>
      <c r="V45" s="90">
        <f t="shared" si="2"/>
        <v>734.71520892601779</v>
      </c>
      <c r="W45" s="89">
        <f t="shared" si="10"/>
        <v>4.9285813912879615</v>
      </c>
      <c r="X45" s="84"/>
    </row>
    <row r="46" spans="1:24">
      <c r="A46" s="6"/>
      <c r="B46" s="20">
        <f t="shared" si="15"/>
        <v>6.7999999999999962E-3</v>
      </c>
      <c r="C46" s="8">
        <f t="shared" si="17"/>
        <v>0.69359999999999955</v>
      </c>
      <c r="D46" s="2">
        <f t="shared" si="3"/>
        <v>55.761047147998227</v>
      </c>
      <c r="E46" s="3">
        <f t="shared" si="16"/>
        <v>967.06012328458996</v>
      </c>
      <c r="F46" s="2">
        <f t="shared" si="4"/>
        <v>0.41509464378162453</v>
      </c>
      <c r="H46" s="8">
        <f t="shared" si="5"/>
        <v>1.8514496067058843</v>
      </c>
      <c r="I46" s="21">
        <f t="shared" si="12"/>
        <v>34</v>
      </c>
      <c r="J46" s="88">
        <f t="shared" si="6"/>
        <v>2890</v>
      </c>
      <c r="K46" s="2">
        <f t="shared" si="7"/>
        <v>19.604526723660744</v>
      </c>
      <c r="L46" s="2">
        <f t="shared" si="8"/>
        <v>166.63847715111632</v>
      </c>
      <c r="M46" s="2">
        <f t="shared" si="9"/>
        <v>1.2404849415715855</v>
      </c>
      <c r="P46" s="84"/>
      <c r="Q46" s="84"/>
      <c r="R46" s="85"/>
      <c r="S46" s="84"/>
      <c r="T46" s="84"/>
      <c r="U46" s="92">
        <f t="shared" si="13"/>
        <v>5.2999999999999972</v>
      </c>
      <c r="V46" s="90">
        <f t="shared" si="2"/>
        <v>748.57590188234417</v>
      </c>
      <c r="W46" s="89">
        <f t="shared" si="10"/>
        <v>5.0781572145576712</v>
      </c>
      <c r="X46" s="84"/>
    </row>
    <row r="47" spans="1:24">
      <c r="A47" s="6"/>
      <c r="B47" s="20">
        <f t="shared" si="15"/>
        <v>6.9999999999999958E-3</v>
      </c>
      <c r="C47" s="8">
        <f t="shared" si="17"/>
        <v>0.71399999999999952</v>
      </c>
      <c r="D47" s="2">
        <f t="shared" si="3"/>
        <v>57.513498887461367</v>
      </c>
      <c r="E47" s="3">
        <f t="shared" si="16"/>
        <v>997.45277697198321</v>
      </c>
      <c r="F47" s="2">
        <f t="shared" si="4"/>
        <v>0.42814019022924094</v>
      </c>
      <c r="H47" s="8">
        <f t="shared" si="5"/>
        <v>1.8972837564593972</v>
      </c>
      <c r="I47" s="21">
        <f t="shared" si="12"/>
        <v>35</v>
      </c>
      <c r="J47" s="88">
        <f t="shared" si="6"/>
        <v>2975</v>
      </c>
      <c r="K47" s="2">
        <f t="shared" si="7"/>
        <v>20.181130450827236</v>
      </c>
      <c r="L47" s="2">
        <f t="shared" si="8"/>
        <v>171.53960883203152</v>
      </c>
      <c r="M47" s="2">
        <f t="shared" si="9"/>
        <v>1.2769697927942794</v>
      </c>
      <c r="P47" s="12"/>
      <c r="Q47" s="84"/>
      <c r="R47" s="85"/>
      <c r="S47" s="84"/>
      <c r="T47" s="84"/>
      <c r="U47" s="92">
        <f t="shared" si="13"/>
        <v>5.3999999999999968</v>
      </c>
      <c r="V47" s="90">
        <f t="shared" si="2"/>
        <v>762.69808229244234</v>
      </c>
      <c r="W47" s="89">
        <f t="shared" si="10"/>
        <v>5.2305548448824712</v>
      </c>
      <c r="X47" s="84"/>
    </row>
    <row r="48" spans="1:24">
      <c r="A48" s="6"/>
      <c r="B48" s="20">
        <f t="shared" si="15"/>
        <v>7.1999999999999955E-3</v>
      </c>
      <c r="C48" s="8">
        <f t="shared" si="17"/>
        <v>0.7343999999999995</v>
      </c>
      <c r="D48" s="2">
        <f t="shared" si="3"/>
        <v>59.272644933510151</v>
      </c>
      <c r="E48" s="3">
        <f t="shared" si="16"/>
        <v>1027.9615295722042</v>
      </c>
      <c r="F48" s="2">
        <f t="shared" si="4"/>
        <v>0.44123557022464133</v>
      </c>
      <c r="H48" s="8">
        <f t="shared" si="5"/>
        <v>1.9427285721716949</v>
      </c>
      <c r="I48" s="21">
        <f t="shared" si="12"/>
        <v>36</v>
      </c>
      <c r="J48" s="88">
        <f t="shared" si="6"/>
        <v>3060</v>
      </c>
      <c r="K48" s="2">
        <f t="shared" si="7"/>
        <v>20.757734177993729</v>
      </c>
      <c r="L48" s="2">
        <f t="shared" si="8"/>
        <v>176.44074051294669</v>
      </c>
      <c r="M48" s="2">
        <f t="shared" si="9"/>
        <v>1.3134546440169728</v>
      </c>
      <c r="P48" s="12"/>
      <c r="Q48" s="84"/>
      <c r="R48" s="85"/>
      <c r="S48" s="84"/>
      <c r="T48" s="84"/>
      <c r="U48" s="92">
        <f t="shared" si="13"/>
        <v>5.4999999999999964</v>
      </c>
      <c r="V48" s="90">
        <f t="shared" si="2"/>
        <v>777.08668322053222</v>
      </c>
      <c r="W48" s="89">
        <f t="shared" si="10"/>
        <v>5.3858275167683329</v>
      </c>
      <c r="X48" s="84"/>
    </row>
    <row r="49" spans="1:24">
      <c r="A49" s="6"/>
      <c r="B49" s="20">
        <f t="shared" si="15"/>
        <v>7.3999999999999951E-3</v>
      </c>
      <c r="C49" s="8">
        <f t="shared" si="17"/>
        <v>0.75479999999999947</v>
      </c>
      <c r="D49" s="2">
        <f t="shared" si="3"/>
        <v>61.038510858170127</v>
      </c>
      <c r="E49" s="3">
        <f t="shared" si="16"/>
        <v>1058.5868245791871</v>
      </c>
      <c r="F49" s="2">
        <f t="shared" si="4"/>
        <v>0.45438097413029871</v>
      </c>
      <c r="H49" s="8">
        <f t="shared" si="5"/>
        <v>1.9877906124956233</v>
      </c>
      <c r="I49" s="21">
        <f t="shared" si="12"/>
        <v>37</v>
      </c>
      <c r="J49" s="88">
        <f t="shared" si="6"/>
        <v>3145</v>
      </c>
      <c r="K49" s="2">
        <f t="shared" si="7"/>
        <v>21.334337905160222</v>
      </c>
      <c r="L49" s="2">
        <f t="shared" si="8"/>
        <v>181.34187219386189</v>
      </c>
      <c r="M49" s="2">
        <f t="shared" si="9"/>
        <v>1.3499394952396666</v>
      </c>
      <c r="P49" s="12"/>
      <c r="Q49" s="84"/>
      <c r="R49" s="85"/>
      <c r="S49" s="84"/>
      <c r="T49" s="84"/>
      <c r="U49" s="92">
        <f t="shared" si="13"/>
        <v>5.5999999999999961</v>
      </c>
      <c r="V49" s="90">
        <f t="shared" si="2"/>
        <v>791.74673079503987</v>
      </c>
      <c r="W49" s="89">
        <f t="shared" si="10"/>
        <v>5.544029469011222</v>
      </c>
      <c r="X49" s="84"/>
    </row>
    <row r="50" spans="1:24">
      <c r="A50" s="6"/>
      <c r="B50" s="20">
        <f t="shared" si="15"/>
        <v>7.5999999999999948E-3</v>
      </c>
      <c r="C50" s="8">
        <f t="shared" si="17"/>
        <v>0.77519999999999933</v>
      </c>
      <c r="D50" s="2">
        <f t="shared" si="3"/>
        <v>62.811122331150955</v>
      </c>
      <c r="E50" s="3">
        <f t="shared" si="16"/>
        <v>1089.3291071809954</v>
      </c>
      <c r="F50" s="2">
        <f t="shared" si="4"/>
        <v>0.46757659303586319</v>
      </c>
      <c r="H50" s="8">
        <f t="shared" si="5"/>
        <v>2.0324762717384632</v>
      </c>
      <c r="I50" s="21">
        <f t="shared" si="12"/>
        <v>38</v>
      </c>
      <c r="J50" s="88">
        <f t="shared" si="6"/>
        <v>3230</v>
      </c>
      <c r="K50" s="2">
        <f t="shared" si="7"/>
        <v>21.910941632326715</v>
      </c>
      <c r="L50" s="2">
        <f t="shared" si="8"/>
        <v>186.24300387477706</v>
      </c>
      <c r="M50" s="2">
        <f t="shared" si="9"/>
        <v>1.3864243464623602</v>
      </c>
      <c r="P50" s="12"/>
      <c r="Q50" s="84"/>
      <c r="R50" s="85"/>
      <c r="S50" s="84"/>
      <c r="T50" s="84"/>
      <c r="U50" s="92">
        <f t="shared" si="13"/>
        <v>5.6999999999999957</v>
      </c>
      <c r="V50" s="90">
        <f t="shared" si="2"/>
        <v>806.68334596429293</v>
      </c>
      <c r="W50" s="89">
        <f t="shared" si="10"/>
        <v>5.7052159636434485</v>
      </c>
      <c r="X50" s="84"/>
    </row>
    <row r="51" spans="1:24">
      <c r="A51" s="6"/>
      <c r="B51" s="20">
        <f t="shared" si="15"/>
        <v>7.7999999999999944E-3</v>
      </c>
      <c r="C51" s="8">
        <f t="shared" si="17"/>
        <v>0.79559999999999942</v>
      </c>
      <c r="D51" s="2">
        <f t="shared" si="3"/>
        <v>64.5905051202202</v>
      </c>
      <c r="E51" s="3">
        <f t="shared" si="16"/>
        <v>1120.1888242663042</v>
      </c>
      <c r="F51" s="2">
        <f t="shared" si="4"/>
        <v>0.4808226187609444</v>
      </c>
      <c r="H51" s="8">
        <f t="shared" si="5"/>
        <v>2.0767917853073374</v>
      </c>
      <c r="I51" s="21">
        <f t="shared" si="12"/>
        <v>39</v>
      </c>
      <c r="J51" s="88">
        <f t="shared" si="6"/>
        <v>3315</v>
      </c>
      <c r="K51" s="2">
        <f t="shared" si="7"/>
        <v>22.487545359493208</v>
      </c>
      <c r="L51" s="2">
        <f t="shared" si="8"/>
        <v>191.14413555569226</v>
      </c>
      <c r="M51" s="2">
        <f t="shared" si="9"/>
        <v>1.4229091976850539</v>
      </c>
      <c r="P51" s="84"/>
      <c r="Q51" s="84"/>
      <c r="R51" s="84"/>
      <c r="S51" s="84"/>
      <c r="T51" s="84"/>
      <c r="U51" s="92">
        <f t="shared" si="13"/>
        <v>5.7999999999999954</v>
      </c>
      <c r="V51" s="90">
        <f t="shared" si="2"/>
        <v>821.9017462853335</v>
      </c>
      <c r="W51" s="89">
        <f t="shared" si="10"/>
        <v>5.8694433052374118</v>
      </c>
      <c r="X51" s="84"/>
    </row>
    <row r="52" spans="1:24">
      <c r="A52" s="6"/>
      <c r="B52" s="20">
        <f t="shared" si="15"/>
        <v>7.999999999999995E-3</v>
      </c>
      <c r="C52" s="8">
        <f t="shared" si="17"/>
        <v>0.8159999999999995</v>
      </c>
      <c r="D52" s="2">
        <f t="shared" si="3"/>
        <v>66.37668509157686</v>
      </c>
      <c r="E52" s="3">
        <f t="shared" si="16"/>
        <v>1151.1664244308779</v>
      </c>
      <c r="F52" s="2">
        <f t="shared" si="4"/>
        <v>0.49411924385789224</v>
      </c>
      <c r="H52" s="8">
        <f t="shared" si="5"/>
        <v>2.120743234930925</v>
      </c>
      <c r="I52" s="21">
        <f t="shared" si="12"/>
        <v>40</v>
      </c>
      <c r="J52" s="88">
        <f t="shared" si="6"/>
        <v>3400</v>
      </c>
      <c r="K52" s="2">
        <f t="shared" si="7"/>
        <v>23.0641490866597</v>
      </c>
      <c r="L52" s="2">
        <f t="shared" si="8"/>
        <v>196.04526723660743</v>
      </c>
      <c r="M52" s="2">
        <f t="shared" si="9"/>
        <v>1.4593940489077477</v>
      </c>
      <c r="P52" s="84"/>
      <c r="Q52" s="84"/>
      <c r="R52" s="84"/>
      <c r="S52" s="84"/>
      <c r="T52" s="84"/>
      <c r="U52" s="92">
        <f t="shared" si="13"/>
        <v>5.899999999999995</v>
      </c>
      <c r="V52" s="90">
        <f t="shared" si="2"/>
        <v>837.40724774648072</v>
      </c>
      <c r="W52" s="89">
        <f t="shared" si="10"/>
        <v>6.0367688605735337</v>
      </c>
      <c r="X52" s="84"/>
    </row>
    <row r="53" spans="1:24">
      <c r="A53" s="6"/>
      <c r="B53" s="20">
        <f t="shared" si="15"/>
        <v>8.1999999999999955E-3</v>
      </c>
      <c r="C53" s="8">
        <f t="shared" si="17"/>
        <v>0.83639999999999948</v>
      </c>
      <c r="D53" s="2">
        <f t="shared" si="3"/>
        <v>68.169688210228287</v>
      </c>
      <c r="E53" s="3">
        <f t="shared" si="16"/>
        <v>1182.2623579841083</v>
      </c>
      <c r="F53" s="2">
        <f t="shared" si="4"/>
        <v>0.50746666161460263</v>
      </c>
      <c r="H53" s="8">
        <f t="shared" si="5"/>
        <v>2.1643365536684454</v>
      </c>
      <c r="I53" s="21">
        <f t="shared" si="12"/>
        <v>41</v>
      </c>
      <c r="J53" s="88">
        <f t="shared" si="6"/>
        <v>3485</v>
      </c>
      <c r="K53" s="2">
        <f t="shared" si="7"/>
        <v>23.640752813826193</v>
      </c>
      <c r="L53" s="2">
        <f t="shared" si="8"/>
        <v>200.94639891752263</v>
      </c>
      <c r="M53" s="2">
        <f t="shared" si="9"/>
        <v>1.4958789001304413</v>
      </c>
      <c r="P53" s="84"/>
      <c r="Q53" s="84"/>
      <c r="R53" s="84"/>
      <c r="S53" s="84"/>
      <c r="T53" s="84"/>
      <c r="U53" s="92">
        <f t="shared" si="13"/>
        <v>5.9999999999999947</v>
      </c>
      <c r="V53" s="90">
        <f t="shared" si="2"/>
        <v>853.20526662427574</v>
      </c>
      <c r="W53" s="89">
        <f t="shared" si="10"/>
        <v>6.207251078679235</v>
      </c>
      <c r="X53" s="84"/>
    </row>
    <row r="54" spans="1:24">
      <c r="A54" s="6"/>
      <c r="B54" s="20">
        <f t="shared" si="15"/>
        <v>8.399999999999996E-3</v>
      </c>
      <c r="C54" s="8">
        <f t="shared" si="17"/>
        <v>0.85679999999999956</v>
      </c>
      <c r="D54" s="2">
        <f t="shared" si="3"/>
        <v>69.969540540367291</v>
      </c>
      <c r="E54" s="3">
        <f t="shared" si="16"/>
        <v>1213.4770769555537</v>
      </c>
      <c r="F54" s="2">
        <f t="shared" si="4"/>
        <v>0.52086506605732474</v>
      </c>
      <c r="H54" s="8">
        <f t="shared" si="5"/>
        <v>2.2075775307161969</v>
      </c>
      <c r="I54" s="21">
        <f t="shared" si="12"/>
        <v>42</v>
      </c>
      <c r="J54" s="88">
        <f t="shared" si="6"/>
        <v>3570</v>
      </c>
      <c r="K54" s="2">
        <f t="shared" si="7"/>
        <v>24.217356540992686</v>
      </c>
      <c r="L54" s="2">
        <f t="shared" si="8"/>
        <v>205.84753059843783</v>
      </c>
      <c r="M54" s="2">
        <f t="shared" si="9"/>
        <v>1.5323637513531352</v>
      </c>
      <c r="P54" s="84"/>
      <c r="Q54" s="84"/>
      <c r="R54" s="84"/>
      <c r="S54" s="84"/>
      <c r="T54" s="84"/>
      <c r="X54" s="84"/>
    </row>
    <row r="55" spans="1:24">
      <c r="A55" s="6"/>
      <c r="B55" s="20">
        <f t="shared" si="15"/>
        <v>8.5999999999999965E-3</v>
      </c>
      <c r="C55" s="8">
        <f t="shared" si="17"/>
        <v>0.87719999999999965</v>
      </c>
      <c r="D55" s="2">
        <f t="shared" si="3"/>
        <v>71.776268245750771</v>
      </c>
      <c r="E55" s="3">
        <f t="shared" si="16"/>
        <v>1244.8110351015057</v>
      </c>
      <c r="F55" s="2">
        <f t="shared" si="4"/>
        <v>0.53431465195347971</v>
      </c>
      <c r="H55" s="8">
        <f t="shared" si="5"/>
        <v>2.2504718160214154</v>
      </c>
      <c r="I55" s="21">
        <f t="shared" si="12"/>
        <v>43</v>
      </c>
      <c r="J55" s="88">
        <f t="shared" si="6"/>
        <v>3655</v>
      </c>
      <c r="K55" s="2">
        <f t="shared" si="7"/>
        <v>24.793960268159175</v>
      </c>
      <c r="L55" s="2">
        <f t="shared" si="8"/>
        <v>210.748662279353</v>
      </c>
      <c r="M55" s="2">
        <f t="shared" si="9"/>
        <v>1.5688486025758288</v>
      </c>
      <c r="P55" s="84"/>
      <c r="Q55" s="84"/>
      <c r="R55" s="84"/>
      <c r="S55" s="84"/>
      <c r="T55" s="84"/>
      <c r="V55" s="84"/>
      <c r="W55" s="84"/>
      <c r="X55" s="84"/>
    </row>
    <row r="56" spans="1:24">
      <c r="A56" s="6"/>
      <c r="B56" s="20">
        <f t="shared" si="15"/>
        <v>8.7999999999999971E-3</v>
      </c>
      <c r="C56" s="8">
        <f t="shared" si="17"/>
        <v>0.89759999999999962</v>
      </c>
      <c r="D56" s="2">
        <f t="shared" si="3"/>
        <v>73.589897590080568</v>
      </c>
      <c r="E56" s="3">
        <f t="shared" si="16"/>
        <v>1276.2646879115944</v>
      </c>
      <c r="F56" s="2">
        <f t="shared" si="4"/>
        <v>0.54781561481449559</v>
      </c>
      <c r="H56" s="8">
        <f t="shared" si="5"/>
        <v>2.2930249247126424</v>
      </c>
      <c r="I56" s="21">
        <f t="shared" si="12"/>
        <v>44</v>
      </c>
      <c r="J56" s="88">
        <f t="shared" si="6"/>
        <v>3740</v>
      </c>
      <c r="K56" s="2">
        <f t="shared" si="7"/>
        <v>25.370563995325668</v>
      </c>
      <c r="L56" s="2">
        <f t="shared" si="8"/>
        <v>215.6497939602682</v>
      </c>
      <c r="M56" s="2">
        <f t="shared" si="9"/>
        <v>1.6053334537985227</v>
      </c>
      <c r="P56" s="84"/>
      <c r="Q56" s="84"/>
      <c r="R56" s="84"/>
      <c r="S56" s="84"/>
      <c r="T56" s="84"/>
      <c r="V56" s="84"/>
      <c r="W56" s="84"/>
      <c r="X56" s="84"/>
    </row>
    <row r="57" spans="1:24">
      <c r="A57" s="6"/>
      <c r="B57" s="20">
        <f t="shared" si="15"/>
        <v>8.9999999999999976E-3</v>
      </c>
      <c r="C57" s="8">
        <f t="shared" si="17"/>
        <v>0.91799999999999971</v>
      </c>
      <c r="D57" s="2">
        <f t="shared" si="3"/>
        <v>75.410454937384884</v>
      </c>
      <c r="E57" s="3">
        <f t="shared" si="16"/>
        <v>1307.8384926154033</v>
      </c>
      <c r="F57" s="2">
        <f t="shared" si="4"/>
        <v>0.56136815089864678</v>
      </c>
      <c r="H57" s="8">
        <f t="shared" si="5"/>
        <v>2.3352422413552656</v>
      </c>
      <c r="I57" s="21">
        <f t="shared" si="12"/>
        <v>45</v>
      </c>
      <c r="J57" s="88">
        <f t="shared" si="6"/>
        <v>3825</v>
      </c>
      <c r="K57" s="2">
        <f t="shared" si="7"/>
        <v>25.947167722492161</v>
      </c>
      <c r="L57" s="2">
        <f t="shared" si="8"/>
        <v>220.55092564118337</v>
      </c>
      <c r="M57" s="2">
        <f t="shared" si="9"/>
        <v>1.6418183050212163</v>
      </c>
      <c r="P57" s="84"/>
      <c r="Q57" s="84"/>
      <c r="R57" s="84"/>
      <c r="S57" s="84"/>
      <c r="T57" s="84"/>
      <c r="V57" s="84"/>
      <c r="W57" s="84"/>
      <c r="X57" s="84"/>
    </row>
    <row r="58" spans="1:24">
      <c r="B58" s="20">
        <f t="shared" si="15"/>
        <v>9.1999999999999981E-3</v>
      </c>
      <c r="C58" s="8">
        <f t="shared" si="17"/>
        <v>0.93839999999999979</v>
      </c>
      <c r="D58" s="2">
        <f t="shared" si="3"/>
        <v>77.237966752401519</v>
      </c>
      <c r="E58" s="3">
        <f t="shared" si="16"/>
        <v>1339.5329081891159</v>
      </c>
      <c r="F58" s="2">
        <f t="shared" si="4"/>
        <v>0.57497245721390711</v>
      </c>
      <c r="H58" s="8">
        <f t="shared" si="5"/>
        <v>2.3771290240404919</v>
      </c>
      <c r="I58" s="21">
        <f t="shared" si="12"/>
        <v>46</v>
      </c>
      <c r="J58" s="88">
        <f t="shared" si="6"/>
        <v>3910</v>
      </c>
      <c r="K58" s="2">
        <f t="shared" si="7"/>
        <v>26.523771449658653</v>
      </c>
      <c r="L58" s="2">
        <f t="shared" si="8"/>
        <v>225.45205732209857</v>
      </c>
      <c r="M58" s="2">
        <f t="shared" si="9"/>
        <v>1.6783031562439099</v>
      </c>
      <c r="P58" s="84"/>
      <c r="Q58" s="84"/>
      <c r="R58" s="84"/>
      <c r="S58" s="84"/>
      <c r="T58" s="84"/>
      <c r="V58" s="84"/>
      <c r="W58" s="84"/>
      <c r="X58" s="84"/>
    </row>
    <row r="59" spans="1:24">
      <c r="B59" s="20">
        <f t="shared" si="15"/>
        <v>9.3999999999999986E-3</v>
      </c>
      <c r="C59" s="8">
        <f t="shared" si="17"/>
        <v>0.95879999999999976</v>
      </c>
      <c r="D59" s="2">
        <f t="shared" si="3"/>
        <v>79.072459600962816</v>
      </c>
      <c r="E59" s="3">
        <f t="shared" si="16"/>
        <v>1371.3483953621912</v>
      </c>
      <c r="F59" s="2">
        <f t="shared" si="4"/>
        <v>0.58862873152081496</v>
      </c>
      <c r="H59" s="8">
        <f t="shared" si="5"/>
        <v>2.4186904083154697</v>
      </c>
      <c r="I59" s="21">
        <f t="shared" si="12"/>
        <v>47</v>
      </c>
      <c r="J59" s="88">
        <f t="shared" si="6"/>
        <v>3995</v>
      </c>
      <c r="K59" s="2">
        <f t="shared" si="7"/>
        <v>27.100375176825146</v>
      </c>
      <c r="L59" s="2">
        <f t="shared" si="8"/>
        <v>230.35318900301374</v>
      </c>
      <c r="M59" s="2">
        <f t="shared" si="9"/>
        <v>1.7147880074666035</v>
      </c>
      <c r="P59" s="84"/>
      <c r="Q59" s="84"/>
      <c r="R59" s="85"/>
      <c r="S59" s="84"/>
      <c r="T59" s="84"/>
      <c r="V59" s="84"/>
      <c r="W59" s="84"/>
      <c r="X59" s="84"/>
    </row>
    <row r="60" spans="1:24">
      <c r="B60" s="20">
        <f t="shared" si="15"/>
        <v>9.5999999999999992E-3</v>
      </c>
      <c r="C60" s="8">
        <f t="shared" si="17"/>
        <v>0.97919999999999985</v>
      </c>
      <c r="D60" s="2">
        <f t="shared" si="3"/>
        <v>80.913960150381627</v>
      </c>
      <c r="E60" s="3">
        <f t="shared" si="16"/>
        <v>1403.2854166240584</v>
      </c>
      <c r="F60" s="2">
        <f t="shared" si="4"/>
        <v>0.60233717233534712</v>
      </c>
      <c r="H60" s="8">
        <f t="shared" si="5"/>
        <v>2.4599314109619397</v>
      </c>
      <c r="I60" s="21">
        <f t="shared" si="12"/>
        <v>48</v>
      </c>
      <c r="J60" s="88">
        <f t="shared" si="6"/>
        <v>4080</v>
      </c>
      <c r="K60" s="2">
        <f t="shared" si="7"/>
        <v>27.676978903991639</v>
      </c>
      <c r="L60" s="2">
        <f t="shared" si="8"/>
        <v>235.25432068392894</v>
      </c>
      <c r="M60" s="2">
        <f t="shared" si="9"/>
        <v>1.7512728586892974</v>
      </c>
      <c r="P60" s="84"/>
      <c r="Q60" s="84"/>
      <c r="R60" s="84"/>
      <c r="S60" s="84"/>
      <c r="T60" s="84"/>
      <c r="V60" s="84"/>
      <c r="W60" s="84"/>
      <c r="X60" s="84"/>
    </row>
    <row r="61" spans="1:24">
      <c r="B61" s="20">
        <f t="shared" si="15"/>
        <v>9.7999999999999997E-3</v>
      </c>
      <c r="C61" s="8">
        <f t="shared" si="17"/>
        <v>0.99959999999999993</v>
      </c>
      <c r="D61" s="2">
        <f t="shared" si="3"/>
        <v>82.762495169839042</v>
      </c>
      <c r="E61" s="3">
        <f t="shared" si="16"/>
        <v>1435.3444362308403</v>
      </c>
      <c r="F61" s="2">
        <f t="shared" si="4"/>
        <v>0.61609797893180429</v>
      </c>
      <c r="H61" s="8">
        <f t="shared" si="5"/>
        <v>2.5008569336303594</v>
      </c>
      <c r="I61" s="21">
        <f t="shared" si="12"/>
        <v>49</v>
      </c>
      <c r="J61" s="88">
        <f t="shared" si="6"/>
        <v>4165</v>
      </c>
      <c r="K61" s="2">
        <f t="shared" si="7"/>
        <v>28.253582631158132</v>
      </c>
      <c r="L61" s="2">
        <f t="shared" si="8"/>
        <v>240.15545236484411</v>
      </c>
      <c r="M61" s="2">
        <f t="shared" si="9"/>
        <v>1.7877577099119908</v>
      </c>
      <c r="P61" s="84"/>
      <c r="Q61" s="84"/>
      <c r="R61" s="84"/>
      <c r="S61" s="84"/>
      <c r="T61" s="84"/>
      <c r="V61" s="84"/>
      <c r="W61" s="84"/>
      <c r="X61" s="84"/>
    </row>
    <row r="62" spans="1:24">
      <c r="B62" s="20">
        <f t="shared" si="15"/>
        <v>0.01</v>
      </c>
      <c r="C62" s="8">
        <f t="shared" si="17"/>
        <v>1.02</v>
      </c>
      <c r="D62" s="2">
        <f t="shared" si="3"/>
        <v>84.618091530773597</v>
      </c>
      <c r="E62" s="3">
        <f t="shared" si="16"/>
        <v>1467.5259202121042</v>
      </c>
      <c r="F62" s="2">
        <f t="shared" si="4"/>
        <v>0.62991135134570919</v>
      </c>
      <c r="H62" s="8">
        <f t="shared" si="5"/>
        <v>2.5414717663360631</v>
      </c>
      <c r="I62" s="21">
        <f t="shared" si="12"/>
        <v>50</v>
      </c>
      <c r="J62" s="88">
        <f t="shared" si="6"/>
        <v>4250</v>
      </c>
      <c r="K62" s="2">
        <f t="shared" si="7"/>
        <v>28.830186358324625</v>
      </c>
      <c r="L62" s="2">
        <f t="shared" si="8"/>
        <v>245.05658404575931</v>
      </c>
      <c r="M62" s="2">
        <f t="shared" si="9"/>
        <v>1.8242425611346846</v>
      </c>
      <c r="P62" s="84"/>
      <c r="Q62" s="84"/>
      <c r="R62" s="85"/>
      <c r="S62" s="84"/>
      <c r="T62" s="84"/>
      <c r="V62" s="84"/>
      <c r="W62" s="84"/>
      <c r="X62" s="84"/>
    </row>
    <row r="63" spans="1:24">
      <c r="A63" s="12"/>
      <c r="B63" s="20">
        <f t="shared" si="15"/>
        <v>1.0200000000000001E-2</v>
      </c>
      <c r="C63" s="8">
        <f t="shared" si="17"/>
        <v>1.0404</v>
      </c>
      <c r="D63" s="2">
        <f t="shared" ref="D63:D120" si="18">$A$6 * POWER(2.718,(C63+$A$8)/5.35) - $A$7</f>
        <v>86.480776207271674</v>
      </c>
      <c r="E63" s="3">
        <f t="shared" ref="E63:E120" si="19">D63*$A$5</f>
        <v>1499.830336377632</v>
      </c>
      <c r="F63" s="2">
        <f t="shared" si="4"/>
        <v>0.64377749037671217</v>
      </c>
      <c r="H63" s="8">
        <f t="shared" si="5"/>
        <v>2.5817805908237306</v>
      </c>
      <c r="I63" s="21">
        <f t="shared" si="12"/>
        <v>51</v>
      </c>
      <c r="J63" s="88">
        <f t="shared" si="6"/>
        <v>4335</v>
      </c>
      <c r="K63" s="2">
        <f t="shared" si="7"/>
        <v>29.406790085491117</v>
      </c>
      <c r="L63" s="2">
        <f t="shared" ref="L63:L86" si="20">I63*85/$A$5</f>
        <v>249.95771572667448</v>
      </c>
      <c r="M63" s="2">
        <f t="shared" si="9"/>
        <v>1.8607274123573783</v>
      </c>
      <c r="P63" s="84"/>
      <c r="Q63" s="84"/>
      <c r="R63" s="84"/>
      <c r="S63" s="84"/>
      <c r="T63" s="84"/>
      <c r="V63" s="84"/>
      <c r="W63" s="84"/>
      <c r="X63" s="84"/>
    </row>
    <row r="64" spans="1:24">
      <c r="A64" s="12"/>
      <c r="B64" s="20">
        <f t="shared" si="15"/>
        <v>1.0400000000000001E-2</v>
      </c>
      <c r="C64" s="8">
        <f t="shared" si="17"/>
        <v>1.0608000000000002</v>
      </c>
      <c r="D64" s="2">
        <f t="shared" si="18"/>
        <v>88.35057627645989</v>
      </c>
      <c r="E64" s="3">
        <f t="shared" si="19"/>
        <v>1532.2581543242252</v>
      </c>
      <c r="F64" s="2">
        <f t="shared" si="4"/>
        <v>0.65769659759151278</v>
      </c>
      <c r="H64" s="8">
        <f t="shared" si="5"/>
        <v>2.6217879838060489</v>
      </c>
      <c r="I64" s="21">
        <f t="shared" si="12"/>
        <v>52</v>
      </c>
      <c r="J64" s="88">
        <f t="shared" si="6"/>
        <v>4420</v>
      </c>
      <c r="K64" s="2">
        <f t="shared" si="7"/>
        <v>29.98339381265761</v>
      </c>
      <c r="L64" s="2">
        <f t="shared" si="20"/>
        <v>254.85884740758968</v>
      </c>
      <c r="M64" s="2">
        <f t="shared" si="9"/>
        <v>1.8972122635800721</v>
      </c>
      <c r="P64" s="84"/>
      <c r="Q64" s="84"/>
      <c r="R64" s="84"/>
      <c r="S64" s="84"/>
      <c r="T64" s="84"/>
      <c r="V64" s="84"/>
      <c r="W64" s="84"/>
      <c r="X64" s="84"/>
    </row>
    <row r="65" spans="1:20">
      <c r="A65" s="12"/>
      <c r="B65" s="20">
        <f t="shared" si="15"/>
        <v>1.0600000000000002E-2</v>
      </c>
      <c r="C65" s="8">
        <f t="shared" si="17"/>
        <v>1.0812000000000002</v>
      </c>
      <c r="D65" s="2">
        <f t="shared" si="18"/>
        <v>90.227518918898511</v>
      </c>
      <c r="E65" s="3">
        <f t="shared" si="19"/>
        <v>1564.8098454425287</v>
      </c>
      <c r="F65" s="2">
        <f t="shared" si="4"/>
        <v>0.67166887532678787</v>
      </c>
      <c r="H65" s="8">
        <f t="shared" si="5"/>
        <v>2.6614984200821699</v>
      </c>
      <c r="I65" s="21">
        <f t="shared" si="12"/>
        <v>53</v>
      </c>
      <c r="J65" s="88">
        <f t="shared" si="6"/>
        <v>4505</v>
      </c>
      <c r="K65" s="2">
        <f t="shared" si="7"/>
        <v>30.559997539824103</v>
      </c>
      <c r="L65" s="2">
        <f t="shared" si="20"/>
        <v>259.75997908850485</v>
      </c>
      <c r="M65" s="2">
        <f t="shared" si="9"/>
        <v>1.9336971148027655</v>
      </c>
    </row>
    <row r="66" spans="1:20">
      <c r="A66" s="12"/>
      <c r="B66" s="20">
        <f t="shared" si="15"/>
        <v>1.0800000000000002E-2</v>
      </c>
      <c r="C66" s="8">
        <f t="shared" si="17"/>
        <v>1.1016000000000001</v>
      </c>
      <c r="D66" s="2">
        <f t="shared" si="18"/>
        <v>92.111631418976742</v>
      </c>
      <c r="E66" s="3">
        <f t="shared" si="19"/>
        <v>1597.4858829238856</v>
      </c>
      <c r="F66" s="2">
        <f t="shared" si="4"/>
        <v>0.6856945266921346</v>
      </c>
      <c r="H66" s="8">
        <f t="shared" si="5"/>
        <v>2.700916275541295</v>
      </c>
      <c r="I66" s="21">
        <f t="shared" si="12"/>
        <v>54</v>
      </c>
      <c r="J66" s="88">
        <f t="shared" si="6"/>
        <v>4590</v>
      </c>
      <c r="K66" s="2">
        <f t="shared" si="7"/>
        <v>31.136601266990596</v>
      </c>
      <c r="L66" s="2">
        <f t="shared" si="20"/>
        <v>264.66111076942002</v>
      </c>
      <c r="M66" s="2">
        <f t="shared" si="9"/>
        <v>1.9701819660254591</v>
      </c>
    </row>
    <row r="67" spans="1:20">
      <c r="A67" s="12"/>
      <c r="B67" s="20">
        <f t="shared" si="15"/>
        <v>1.1000000000000003E-2</v>
      </c>
      <c r="C67" s="8">
        <f t="shared" si="17"/>
        <v>1.1220000000000003</v>
      </c>
      <c r="D67" s="2">
        <f t="shared" si="18"/>
        <v>94.002941165309039</v>
      </c>
      <c r="E67" s="3">
        <f t="shared" si="19"/>
        <v>1630.2867417672101</v>
      </c>
      <c r="F67" s="2">
        <f t="shared" si="4"/>
        <v>0.69977375557302013</v>
      </c>
      <c r="H67" s="8">
        <f t="shared" si="5"/>
        <v>2.7400458300564101</v>
      </c>
      <c r="I67" s="21">
        <f t="shared" si="12"/>
        <v>55</v>
      </c>
      <c r="J67" s="88">
        <f t="shared" si="6"/>
        <v>4675</v>
      </c>
      <c r="K67" s="2">
        <f t="shared" si="7"/>
        <v>31.713204994157085</v>
      </c>
      <c r="L67" s="2">
        <f t="shared" si="20"/>
        <v>269.56224245033525</v>
      </c>
      <c r="M67" s="2">
        <f t="shared" si="9"/>
        <v>2.0066668172481532</v>
      </c>
      <c r="P67" t="s">
        <v>146</v>
      </c>
      <c r="R67">
        <v>4</v>
      </c>
      <c r="T67" t="s">
        <v>147</v>
      </c>
    </row>
    <row r="68" spans="1:20">
      <c r="A68" s="12"/>
      <c r="B68" s="20">
        <f t="shared" si="15"/>
        <v>1.1200000000000003E-2</v>
      </c>
      <c r="C68" s="8">
        <f t="shared" si="17"/>
        <v>1.1424000000000003</v>
      </c>
      <c r="D68" s="2">
        <f t="shared" si="18"/>
        <v>95.90147565113358</v>
      </c>
      <c r="E68" s="3">
        <f t="shared" si="19"/>
        <v>1663.2128987858994</v>
      </c>
      <c r="F68" s="2">
        <f t="shared" si="4"/>
        <v>0.71390676663374875</v>
      </c>
      <c r="H68" s="8">
        <f t="shared" si="5"/>
        <v>2.778891270272962</v>
      </c>
      <c r="I68" s="21">
        <f t="shared" si="12"/>
        <v>56</v>
      </c>
      <c r="J68" s="88">
        <f t="shared" si="6"/>
        <v>4760</v>
      </c>
      <c r="K68" s="2">
        <f t="shared" si="7"/>
        <v>32.289808721323581</v>
      </c>
      <c r="L68" s="2">
        <f t="shared" si="20"/>
        <v>274.46337413125042</v>
      </c>
      <c r="M68" s="2">
        <f t="shared" si="9"/>
        <v>2.0431516684708466</v>
      </c>
      <c r="P68" t="s">
        <v>144</v>
      </c>
      <c r="R68">
        <v>26</v>
      </c>
      <c r="T68" t="s">
        <v>145</v>
      </c>
    </row>
    <row r="69" spans="1:20">
      <c r="A69" s="12"/>
      <c r="B69" s="20">
        <f t="shared" si="15"/>
        <v>1.1400000000000004E-2</v>
      </c>
      <c r="C69" s="8">
        <f t="shared" si="17"/>
        <v>1.1628000000000003</v>
      </c>
      <c r="D69" s="2">
        <f t="shared" si="18"/>
        <v>97.807262474711649</v>
      </c>
      <c r="E69" s="3">
        <f t="shared" si="19"/>
        <v>1696.2648326147589</v>
      </c>
      <c r="F69" s="2">
        <f t="shared" si="4"/>
        <v>0.72809376532043413</v>
      </c>
      <c r="H69" s="8">
        <f t="shared" si="5"/>
        <v>2.8174566922970272</v>
      </c>
      <c r="I69" s="21">
        <f t="shared" si="12"/>
        <v>57</v>
      </c>
      <c r="J69" s="88">
        <f t="shared" si="6"/>
        <v>4845</v>
      </c>
      <c r="K69" s="2">
        <f t="shared" si="7"/>
        <v>32.866412448490074</v>
      </c>
      <c r="L69" s="2">
        <f t="shared" si="20"/>
        <v>279.36450581216559</v>
      </c>
      <c r="M69" s="2">
        <f t="shared" si="9"/>
        <v>2.0796365196935405</v>
      </c>
      <c r="P69" t="s">
        <v>148</v>
      </c>
      <c r="R69">
        <f>SUM(R67:R68)</f>
        <v>30</v>
      </c>
    </row>
    <row r="70" spans="1:20">
      <c r="A70" s="12"/>
      <c r="B70" s="20">
        <f t="shared" si="15"/>
        <v>1.1600000000000004E-2</v>
      </c>
      <c r="C70" s="8">
        <f t="shared" si="17"/>
        <v>1.1832000000000005</v>
      </c>
      <c r="D70" s="2">
        <f t="shared" si="18"/>
        <v>99.720329339729233</v>
      </c>
      <c r="E70" s="3">
        <f t="shared" si="19"/>
        <v>1729.4430237169679</v>
      </c>
      <c r="F70" s="2">
        <f t="shared" si="4"/>
        <v>0.74233495786398929</v>
      </c>
      <c r="H70" s="8">
        <f t="shared" si="5"/>
        <v>2.8557461042872836</v>
      </c>
      <c r="I70" s="21">
        <f t="shared" si="12"/>
        <v>58</v>
      </c>
      <c r="J70" s="88">
        <f t="shared" si="6"/>
        <v>4930</v>
      </c>
      <c r="K70" s="2">
        <f t="shared" si="7"/>
        <v>33.443016175656567</v>
      </c>
      <c r="L70" s="2">
        <f t="shared" si="20"/>
        <v>284.26563749308082</v>
      </c>
      <c r="M70" s="2">
        <f t="shared" si="9"/>
        <v>2.1161213709162343</v>
      </c>
      <c r="P70" t="s">
        <v>149</v>
      </c>
      <c r="R70">
        <v>100</v>
      </c>
      <c r="T70" t="s">
        <v>150</v>
      </c>
    </row>
    <row r="71" spans="1:20">
      <c r="A71" s="13"/>
      <c r="B71" s="20">
        <f t="shared" si="15"/>
        <v>1.1800000000000005E-2</v>
      </c>
      <c r="C71" s="8">
        <f t="shared" si="17"/>
        <v>1.2036000000000004</v>
      </c>
      <c r="D71" s="2">
        <f t="shared" si="18"/>
        <v>101.64070405569913</v>
      </c>
      <c r="E71" s="3">
        <f t="shared" si="19"/>
        <v>1762.7479543910529</v>
      </c>
      <c r="F71" s="2">
        <f t="shared" si="4"/>
        <v>0.75663055128312007</v>
      </c>
      <c r="H71" s="8">
        <f t="shared" si="5"/>
        <v>2.8937634289548839</v>
      </c>
      <c r="I71" s="21">
        <f t="shared" si="12"/>
        <v>59</v>
      </c>
      <c r="J71" s="88">
        <f t="shared" si="6"/>
        <v>5015</v>
      </c>
      <c r="K71" s="2">
        <f t="shared" si="7"/>
        <v>34.019619902823059</v>
      </c>
      <c r="L71" s="2">
        <f t="shared" si="20"/>
        <v>289.16676917399599</v>
      </c>
      <c r="M71" s="2">
        <f t="shared" si="9"/>
        <v>2.1526062221389277</v>
      </c>
      <c r="P71" t="s">
        <v>151</v>
      </c>
      <c r="R71">
        <f>R70*R69/1000</f>
        <v>3</v>
      </c>
    </row>
    <row r="72" spans="1:20">
      <c r="A72" s="13"/>
      <c r="B72" s="20">
        <f t="shared" si="15"/>
        <v>1.2000000000000005E-2</v>
      </c>
      <c r="C72" s="8">
        <f t="shared" si="17"/>
        <v>1.2240000000000006</v>
      </c>
      <c r="D72" s="2">
        <f t="shared" si="18"/>
        <v>103.56841453836574</v>
      </c>
      <c r="E72" s="3">
        <f t="shared" si="19"/>
        <v>1796.1801087779077</v>
      </c>
      <c r="F72" s="2">
        <f t="shared" si="4"/>
        <v>0.77098075338733807</v>
      </c>
      <c r="H72" s="8">
        <f t="shared" si="5"/>
        <v>2.9315125059751299</v>
      </c>
      <c r="I72" s="21">
        <f t="shared" si="12"/>
        <v>60</v>
      </c>
      <c r="J72" s="88">
        <f t="shared" si="6"/>
        <v>5100</v>
      </c>
      <c r="K72" s="2">
        <f t="shared" si="7"/>
        <v>34.596223629989552</v>
      </c>
      <c r="L72" s="2">
        <f t="shared" si="20"/>
        <v>294.06790085491116</v>
      </c>
      <c r="M72" s="2">
        <f t="shared" si="9"/>
        <v>2.1890910733616216</v>
      </c>
    </row>
    <row r="73" spans="1:20">
      <c r="A73" s="13"/>
      <c r="B73" s="20">
        <f t="shared" si="15"/>
        <v>1.2200000000000006E-2</v>
      </c>
      <c r="C73" s="8">
        <f t="shared" si="17"/>
        <v>1.2444000000000006</v>
      </c>
      <c r="D73" s="2">
        <f t="shared" si="18"/>
        <v>105.50348881011064</v>
      </c>
      <c r="E73" s="3">
        <f t="shared" si="19"/>
        <v>1829.7399728678279</v>
      </c>
      <c r="F73" s="2">
        <f t="shared" si="4"/>
        <v>0.7853857727799799</v>
      </c>
      <c r="H73" s="8">
        <f t="shared" si="5"/>
        <v>2.9689970943146684</v>
      </c>
      <c r="I73" s="21">
        <f t="shared" si="12"/>
        <v>61</v>
      </c>
      <c r="J73" s="88">
        <f t="shared" si="6"/>
        <v>5185</v>
      </c>
      <c r="K73" s="2">
        <f t="shared" si="7"/>
        <v>35.172827357156038</v>
      </c>
      <c r="L73" s="2">
        <f t="shared" si="20"/>
        <v>298.96903253582633</v>
      </c>
      <c r="M73" s="2">
        <f t="shared" si="9"/>
        <v>2.2255759245843154</v>
      </c>
    </row>
    <row r="74" spans="1:20">
      <c r="A74" s="12"/>
      <c r="B74" s="20">
        <f t="shared" si="15"/>
        <v>1.2400000000000007E-2</v>
      </c>
      <c r="C74" s="8">
        <f t="shared" si="17"/>
        <v>1.2648000000000006</v>
      </c>
      <c r="D74" s="2">
        <f t="shared" si="18"/>
        <v>107.44595500035996</v>
      </c>
      <c r="E74" s="3">
        <f t="shared" si="19"/>
        <v>1863.4280345075758</v>
      </c>
      <c r="F74" s="2">
        <f t="shared" si="4"/>
        <v>0.7998458188612404</v>
      </c>
      <c r="H74" s="8">
        <f t="shared" si="5"/>
        <v>3.0062208744777177</v>
      </c>
      <c r="I74" s="21">
        <f t="shared" si="12"/>
        <v>62</v>
      </c>
      <c r="J74" s="88">
        <f t="shared" si="6"/>
        <v>5270</v>
      </c>
      <c r="K74" s="2">
        <f t="shared" si="7"/>
        <v>35.749431084322531</v>
      </c>
      <c r="L74" s="2">
        <f t="shared" si="20"/>
        <v>303.87016421674156</v>
      </c>
      <c r="M74" s="2">
        <f t="shared" si="9"/>
        <v>2.2620607758070088</v>
      </c>
    </row>
    <row r="75" spans="1:20">
      <c r="A75" s="12"/>
      <c r="B75" s="20">
        <f t="shared" si="15"/>
        <v>1.2600000000000007E-2</v>
      </c>
      <c r="C75" s="8">
        <f t="shared" si="17"/>
        <v>1.2852000000000008</v>
      </c>
      <c r="D75" s="2">
        <f t="shared" si="18"/>
        <v>109.39584134599318</v>
      </c>
      <c r="E75" s="3">
        <f t="shared" si="19"/>
        <v>1897.2447834074696</v>
      </c>
      <c r="F75" s="2">
        <f t="shared" si="4"/>
        <v>0.81436110183121468</v>
      </c>
      <c r="H75" s="8">
        <f t="shared" si="5"/>
        <v>3.0431874506746857</v>
      </c>
      <c r="I75" s="21">
        <f t="shared" si="12"/>
        <v>63</v>
      </c>
      <c r="J75" s="88">
        <f t="shared" si="6"/>
        <v>5355</v>
      </c>
      <c r="K75" s="2">
        <f t="shared" si="7"/>
        <v>36.326034811489023</v>
      </c>
      <c r="L75" s="2">
        <f t="shared" si="20"/>
        <v>308.77129589765673</v>
      </c>
      <c r="M75" s="2">
        <f t="shared" si="9"/>
        <v>2.2985456270297027</v>
      </c>
    </row>
    <row r="76" spans="1:20">
      <c r="A76" s="12"/>
      <c r="B76" s="20">
        <f t="shared" si="15"/>
        <v>1.2800000000000008E-2</v>
      </c>
      <c r="C76" s="8">
        <f t="shared" si="17"/>
        <v>1.3056000000000008</v>
      </c>
      <c r="D76" s="2">
        <f t="shared" si="18"/>
        <v>111.35317619175396</v>
      </c>
      <c r="E76" s="3">
        <f t="shared" si="19"/>
        <v>1931.1907111485093</v>
      </c>
      <c r="F76" s="2">
        <f t="shared" si="4"/>
        <v>0.82893183269295756</v>
      </c>
      <c r="H76" s="8">
        <f t="shared" si="5"/>
        <v>3.0799003529163951</v>
      </c>
      <c r="I76" s="21">
        <f t="shared" si="12"/>
        <v>64</v>
      </c>
      <c r="J76" s="88">
        <f t="shared" si="6"/>
        <v>5440</v>
      </c>
      <c r="K76" s="2">
        <f t="shared" si="7"/>
        <v>36.902638538655516</v>
      </c>
      <c r="L76" s="2">
        <f t="shared" si="20"/>
        <v>313.6724275785719</v>
      </c>
      <c r="M76" s="2">
        <f t="shared" si="9"/>
        <v>2.3350304782523965</v>
      </c>
    </row>
    <row r="77" spans="1:20">
      <c r="A77" s="12"/>
      <c r="B77" s="20">
        <f t="shared" si="15"/>
        <v>1.3000000000000008E-2</v>
      </c>
      <c r="C77" s="8">
        <f t="shared" si="17"/>
        <v>1.3260000000000007</v>
      </c>
      <c r="D77" s="2">
        <f t="shared" si="18"/>
        <v>113.31798799066166</v>
      </c>
      <c r="E77" s="3">
        <f t="shared" si="19"/>
        <v>1965.2663111895122</v>
      </c>
      <c r="F77" s="2">
        <f t="shared" si="4"/>
        <v>0.84355822325554586</v>
      </c>
      <c r="H77" s="8">
        <f t="shared" si="5"/>
        <v>3.1163630390369232</v>
      </c>
      <c r="I77" s="21">
        <f t="shared" si="12"/>
        <v>65</v>
      </c>
      <c r="J77" s="88">
        <f t="shared" si="6"/>
        <v>5525</v>
      </c>
      <c r="K77" s="2">
        <f t="shared" si="7"/>
        <v>37.479242265822009</v>
      </c>
      <c r="L77" s="2">
        <f t="shared" si="20"/>
        <v>318.57355925948707</v>
      </c>
      <c r="M77" s="2">
        <f t="shared" si="9"/>
        <v>2.3715153294750899</v>
      </c>
      <c r="R77">
        <f>3*420</f>
        <v>1260</v>
      </c>
    </row>
    <row r="78" spans="1:20">
      <c r="A78" s="12"/>
      <c r="B78" s="20">
        <f t="shared" si="15"/>
        <v>1.3200000000000009E-2</v>
      </c>
      <c r="C78" s="8">
        <f t="shared" si="17"/>
        <v>1.3464000000000009</v>
      </c>
      <c r="D78" s="2">
        <f t="shared" si="18"/>
        <v>115.29030530442537</v>
      </c>
      <c r="E78" s="3">
        <f t="shared" si="19"/>
        <v>1999.4720788742954</v>
      </c>
      <c r="F78" s="2">
        <f t="shared" ref="F78:F141" si="21">$A$10*$D78/$A$7</f>
        <v>0.85824048613716164</v>
      </c>
      <c r="H78" s="8">
        <f t="shared" ref="H78:H86" si="22">5.35*LN(($A$7+L78)/$A$7)</f>
        <v>3.152578896647984</v>
      </c>
      <c r="I78" s="21">
        <f t="shared" si="12"/>
        <v>66</v>
      </c>
      <c r="J78" s="88">
        <f t="shared" ref="J78:J111" si="23">I78*85</f>
        <v>5610</v>
      </c>
      <c r="K78" s="2">
        <f t="shared" ref="K78:K86" si="24">I78*10/$A$5</f>
        <v>38.055845992988502</v>
      </c>
      <c r="L78" s="2">
        <f t="shared" si="20"/>
        <v>323.4746909404023</v>
      </c>
      <c r="M78" s="2">
        <f t="shared" ref="M78:M112" si="25">$A$10*$L78/$A$7</f>
        <v>2.4080001806977838</v>
      </c>
    </row>
    <row r="79" spans="1:20">
      <c r="A79" s="12"/>
      <c r="B79" s="20">
        <f t="shared" si="15"/>
        <v>1.3400000000000009E-2</v>
      </c>
      <c r="C79" s="8">
        <f t="shared" si="17"/>
        <v>1.3668000000000009</v>
      </c>
      <c r="D79" s="2">
        <f t="shared" si="18"/>
        <v>117.27015680385875</v>
      </c>
      <c r="E79" s="3">
        <f t="shared" si="19"/>
        <v>2033.8085114388684</v>
      </c>
      <c r="F79" s="2">
        <f t="shared" si="21"/>
        <v>0.87297883476817928</v>
      </c>
      <c r="H79" s="8">
        <f t="shared" si="22"/>
        <v>3.1885512450276003</v>
      </c>
      <c r="I79" s="21">
        <f t="shared" ref="I79:I112" si="26">I78+1</f>
        <v>67</v>
      </c>
      <c r="J79" s="88">
        <f t="shared" si="23"/>
        <v>5695</v>
      </c>
      <c r="K79" s="2">
        <f t="shared" si="24"/>
        <v>38.632449720154995</v>
      </c>
      <c r="L79" s="2">
        <f t="shared" si="20"/>
        <v>328.37582262131747</v>
      </c>
      <c r="M79" s="2">
        <f t="shared" si="25"/>
        <v>2.4444850319204776</v>
      </c>
    </row>
    <row r="80" spans="1:20">
      <c r="A80" s="14"/>
      <c r="B80" s="20">
        <f t="shared" si="15"/>
        <v>1.360000000000001E-2</v>
      </c>
      <c r="C80" s="8">
        <f t="shared" si="17"/>
        <v>1.3872000000000009</v>
      </c>
      <c r="D80" s="2">
        <f t="shared" si="18"/>
        <v>119.25757126929739</v>
      </c>
      <c r="E80" s="3">
        <f t="shared" si="19"/>
        <v>2068.2761080186729</v>
      </c>
      <c r="F80" s="2">
        <f t="shared" si="21"/>
        <v>0.88777348339427331</v>
      </c>
      <c r="H80" s="8">
        <f t="shared" si="22"/>
        <v>3.2242833369457147</v>
      </c>
      <c r="I80" s="21">
        <f t="shared" si="26"/>
        <v>68</v>
      </c>
      <c r="J80" s="88">
        <f t="shared" si="23"/>
        <v>5780</v>
      </c>
      <c r="K80" s="2">
        <f t="shared" si="24"/>
        <v>39.209053447321487</v>
      </c>
      <c r="L80" s="2">
        <f t="shared" si="20"/>
        <v>333.27695430223264</v>
      </c>
      <c r="M80" s="2">
        <f t="shared" si="25"/>
        <v>2.480969883143171</v>
      </c>
    </row>
    <row r="81" spans="1:13">
      <c r="A81" s="14"/>
      <c r="B81" s="20">
        <f t="shared" si="15"/>
        <v>1.380000000000001E-2</v>
      </c>
      <c r="C81" s="8">
        <f t="shared" si="17"/>
        <v>1.4076000000000011</v>
      </c>
      <c r="D81" s="2">
        <f t="shared" si="18"/>
        <v>121.25257759101623</v>
      </c>
      <c r="E81" s="3">
        <f t="shared" si="19"/>
        <v>2102.8753696558215</v>
      </c>
      <c r="F81" s="2">
        <f t="shared" si="21"/>
        <v>0.90262464707952528</v>
      </c>
      <c r="H81" s="8">
        <f t="shared" si="22"/>
        <v>3.259778360429217</v>
      </c>
      <c r="I81" s="21">
        <f t="shared" si="26"/>
        <v>69</v>
      </c>
      <c r="J81" s="88">
        <f t="shared" si="23"/>
        <v>5865</v>
      </c>
      <c r="K81" s="2">
        <f t="shared" si="24"/>
        <v>39.78565717448798</v>
      </c>
      <c r="L81" s="2">
        <f t="shared" si="20"/>
        <v>338.17808598314787</v>
      </c>
      <c r="M81" s="2">
        <f t="shared" si="25"/>
        <v>2.5174547343658649</v>
      </c>
    </row>
    <row r="82" spans="1:13">
      <c r="A82" s="14"/>
      <c r="B82" s="20">
        <f t="shared" si="15"/>
        <v>1.4000000000000011E-2</v>
      </c>
      <c r="C82" s="8">
        <f t="shared" si="17"/>
        <v>1.428000000000001</v>
      </c>
      <c r="D82" s="2">
        <f t="shared" si="18"/>
        <v>123.25520476965085</v>
      </c>
      <c r="E82" s="3">
        <f t="shared" si="19"/>
        <v>2137.606799306403</v>
      </c>
      <c r="F82" s="2">
        <f t="shared" si="21"/>
        <v>0.91753254170955967</v>
      </c>
      <c r="H82" s="8">
        <f t="shared" si="22"/>
        <v>3.2950394404688255</v>
      </c>
      <c r="I82" s="21">
        <f t="shared" si="26"/>
        <v>70</v>
      </c>
      <c r="J82" s="88">
        <f t="shared" si="23"/>
        <v>5950</v>
      </c>
      <c r="K82" s="2">
        <f t="shared" si="24"/>
        <v>40.362260901654473</v>
      </c>
      <c r="L82" s="2">
        <f t="shared" si="20"/>
        <v>343.07921766406304</v>
      </c>
      <c r="M82" s="2">
        <f t="shared" si="25"/>
        <v>2.5539395855885587</v>
      </c>
    </row>
    <row r="83" spans="1:13">
      <c r="A83" s="14"/>
      <c r="B83" s="20">
        <f t="shared" si="15"/>
        <v>1.4200000000000011E-2</v>
      </c>
      <c r="C83" s="8">
        <f t="shared" si="17"/>
        <v>1.448400000000001</v>
      </c>
      <c r="D83" s="2">
        <f t="shared" si="18"/>
        <v>125.26548191661743</v>
      </c>
      <c r="E83" s="3">
        <f t="shared" si="19"/>
        <v>2172.4709018477679</v>
      </c>
      <c r="F83" s="2">
        <f t="shared" si="21"/>
        <v>0.93249738399467075</v>
      </c>
      <c r="H83" s="8">
        <f t="shared" si="22"/>
        <v>3.3300696406700796</v>
      </c>
      <c r="I83" s="21">
        <f t="shared" si="26"/>
        <v>71</v>
      </c>
      <c r="J83" s="88">
        <f t="shared" si="23"/>
        <v>6035</v>
      </c>
      <c r="K83" s="2">
        <f t="shared" si="24"/>
        <v>40.938864628820966</v>
      </c>
      <c r="L83" s="2">
        <f t="shared" si="20"/>
        <v>347.98034934497821</v>
      </c>
      <c r="M83" s="2">
        <f t="shared" si="25"/>
        <v>2.5904244368112526</v>
      </c>
    </row>
    <row r="84" spans="1:13">
      <c r="A84" s="14"/>
      <c r="B84" s="20">
        <f t="shared" si="15"/>
        <v>1.4400000000000012E-2</v>
      </c>
      <c r="C84" s="8">
        <f t="shared" si="17"/>
        <v>1.4688000000000012</v>
      </c>
      <c r="D84" s="2">
        <f t="shared" si="18"/>
        <v>127.28343825453749</v>
      </c>
      <c r="E84" s="3">
        <f t="shared" si="19"/>
        <v>2207.468184085893</v>
      </c>
      <c r="F84" s="2">
        <f t="shared" si="21"/>
        <v>0.94751939147298381</v>
      </c>
      <c r="H84" s="8">
        <f t="shared" si="22"/>
        <v>3.3648719648506273</v>
      </c>
      <c r="I84" s="21">
        <f t="shared" si="26"/>
        <v>72</v>
      </c>
      <c r="J84" s="88">
        <f t="shared" si="23"/>
        <v>6120</v>
      </c>
      <c r="K84" s="2">
        <f t="shared" si="24"/>
        <v>41.515468355987458</v>
      </c>
      <c r="L84" s="2">
        <f t="shared" si="20"/>
        <v>352.88148102589338</v>
      </c>
      <c r="M84" s="2">
        <f t="shared" si="25"/>
        <v>2.6269092880339455</v>
      </c>
    </row>
    <row r="85" spans="1:13">
      <c r="B85" s="20">
        <f t="shared" si="15"/>
        <v>1.4600000000000012E-2</v>
      </c>
      <c r="C85" s="8">
        <f t="shared" si="17"/>
        <v>1.4892000000000012</v>
      </c>
      <c r="D85" s="2">
        <f t="shared" si="18"/>
        <v>129.30910311766138</v>
      </c>
      <c r="E85" s="3">
        <f t="shared" si="19"/>
        <v>2242.5991547627264</v>
      </c>
      <c r="F85" s="2">
        <f t="shared" si="21"/>
        <v>0.96259878251360831</v>
      </c>
      <c r="H85" s="8">
        <f t="shared" si="22"/>
        <v>3.3994493585859007</v>
      </c>
      <c r="I85" s="21">
        <f t="shared" si="26"/>
        <v>73</v>
      </c>
      <c r="J85" s="88">
        <f t="shared" si="23"/>
        <v>6205</v>
      </c>
      <c r="K85" s="2">
        <f t="shared" si="24"/>
        <v>42.092072083153951</v>
      </c>
      <c r="L85" s="2">
        <f t="shared" si="20"/>
        <v>357.78261270680861</v>
      </c>
      <c r="M85" s="2">
        <f t="shared" si="25"/>
        <v>2.6633941392566398</v>
      </c>
    </row>
    <row r="86" spans="1:13">
      <c r="B86" s="20">
        <f t="shared" si="15"/>
        <v>1.4800000000000013E-2</v>
      </c>
      <c r="C86" s="8">
        <f t="shared" si="17"/>
        <v>1.5096000000000012</v>
      </c>
      <c r="D86" s="2">
        <f t="shared" si="18"/>
        <v>131.34250595229582</v>
      </c>
      <c r="E86" s="3">
        <f t="shared" si="19"/>
        <v>2277.8643245636026</v>
      </c>
      <c r="F86" s="2">
        <f t="shared" si="21"/>
        <v>0.97773577631982</v>
      </c>
      <c r="H86" s="8">
        <f t="shared" si="22"/>
        <v>3.4338047107051644</v>
      </c>
      <c r="I86" s="21">
        <f t="shared" si="26"/>
        <v>74</v>
      </c>
      <c r="J86" s="88">
        <f t="shared" si="23"/>
        <v>6290</v>
      </c>
      <c r="K86" s="2">
        <f t="shared" si="24"/>
        <v>42.668675810320444</v>
      </c>
      <c r="L86" s="2">
        <f t="shared" si="20"/>
        <v>362.68374438772378</v>
      </c>
      <c r="M86" s="2">
        <f t="shared" si="25"/>
        <v>2.6998789904793332</v>
      </c>
    </row>
    <row r="87" spans="1:13">
      <c r="B87" s="20">
        <f t="shared" si="15"/>
        <v>1.5000000000000013E-2</v>
      </c>
      <c r="C87" s="8">
        <f t="shared" si="17"/>
        <v>1.5300000000000014</v>
      </c>
      <c r="D87" s="2">
        <f t="shared" si="18"/>
        <v>133.38367631723111</v>
      </c>
      <c r="E87" s="3">
        <f t="shared" si="19"/>
        <v>2313.2642061246511</v>
      </c>
      <c r="F87" s="2">
        <f t="shared" si="21"/>
        <v>0.99293059293224151</v>
      </c>
      <c r="H87" s="8">
        <f t="shared" ref="H87:H111" si="27">5.35*LN(($A$7+L87)/$A$7)</f>
        <v>3.4679408547398238</v>
      </c>
      <c r="I87" s="21">
        <f t="shared" si="26"/>
        <v>75</v>
      </c>
      <c r="J87" s="88">
        <f t="shared" si="23"/>
        <v>6375</v>
      </c>
      <c r="K87" s="2">
        <f t="shared" ref="K87:K111" si="28">I87*10/$A$5</f>
        <v>43.245279537486937</v>
      </c>
      <c r="L87" s="2">
        <f t="shared" ref="L87:L111" si="29">I87*85/$A$5</f>
        <v>367.58487606863895</v>
      </c>
      <c r="M87" s="2">
        <f t="shared" si="25"/>
        <v>2.7363638417020266</v>
      </c>
    </row>
    <row r="88" spans="1:13">
      <c r="B88" s="20">
        <f t="shared" si="15"/>
        <v>1.5200000000000014E-2</v>
      </c>
      <c r="C88" s="8">
        <f t="shared" si="17"/>
        <v>1.5504000000000013</v>
      </c>
      <c r="D88" s="2">
        <f t="shared" si="18"/>
        <v>135.43264388417128</v>
      </c>
      <c r="E88" s="3">
        <f t="shared" si="19"/>
        <v>2348.7993140402568</v>
      </c>
      <c r="F88" s="2">
        <f t="shared" si="21"/>
        <v>1.0081834532320444</v>
      </c>
      <c r="H88" s="8">
        <f t="shared" si="27"/>
        <v>3.501860570325833</v>
      </c>
      <c r="I88" s="21">
        <f t="shared" si="26"/>
        <v>76</v>
      </c>
      <c r="J88" s="88">
        <f t="shared" si="23"/>
        <v>6460</v>
      </c>
      <c r="K88" s="2">
        <f t="shared" si="28"/>
        <v>43.82188326465343</v>
      </c>
      <c r="L88" s="2">
        <f t="shared" si="29"/>
        <v>372.48600774955412</v>
      </c>
      <c r="M88" s="2">
        <f t="shared" si="25"/>
        <v>2.7728486929247205</v>
      </c>
    </row>
    <row r="89" spans="1:13">
      <c r="B89" s="20">
        <f t="shared" si="15"/>
        <v>1.5400000000000014E-2</v>
      </c>
      <c r="C89" s="8">
        <f t="shared" si="17"/>
        <v>1.5708000000000013</v>
      </c>
      <c r="D89" s="2">
        <f t="shared" si="18"/>
        <v>137.48943843816528</v>
      </c>
      <c r="E89" s="3">
        <f t="shared" si="19"/>
        <v>2384.4701648705377</v>
      </c>
      <c r="F89" s="2">
        <f t="shared" si="21"/>
        <v>1.0234945789441585</v>
      </c>
      <c r="H89" s="8">
        <f t="shared" si="27"/>
        <v>3.5355665845619177</v>
      </c>
      <c r="I89" s="21">
        <f t="shared" si="26"/>
        <v>77</v>
      </c>
      <c r="J89" s="88">
        <f t="shared" si="23"/>
        <v>6545</v>
      </c>
      <c r="K89" s="2">
        <f t="shared" si="28"/>
        <v>44.398486991819922</v>
      </c>
      <c r="L89" s="2">
        <f t="shared" si="29"/>
        <v>377.38713943046935</v>
      </c>
      <c r="M89" s="2">
        <f t="shared" si="25"/>
        <v>2.8093335441474148</v>
      </c>
    </row>
    <row r="90" spans="1:13">
      <c r="B90" s="20">
        <f t="shared" si="15"/>
        <v>1.5600000000000015E-2</v>
      </c>
      <c r="C90" s="8">
        <f t="shared" si="17"/>
        <v>1.5912000000000017</v>
      </c>
      <c r="D90" s="2">
        <f t="shared" si="18"/>
        <v>139.55408987803969</v>
      </c>
      <c r="E90" s="3">
        <f t="shared" si="19"/>
        <v>2420.2772771488503</v>
      </c>
      <c r="F90" s="2">
        <f t="shared" si="21"/>
        <v>1.038864192640494</v>
      </c>
      <c r="H90" s="8">
        <f t="shared" si="27"/>
        <v>3.569061573325282</v>
      </c>
      <c r="I90" s="21">
        <f t="shared" si="26"/>
        <v>78</v>
      </c>
      <c r="J90" s="88">
        <f t="shared" si="23"/>
        <v>6630</v>
      </c>
      <c r="K90" s="2">
        <f t="shared" si="28"/>
        <v>44.975090718986415</v>
      </c>
      <c r="L90" s="2">
        <f t="shared" si="29"/>
        <v>382.28827111138452</v>
      </c>
      <c r="M90" s="2">
        <f t="shared" si="25"/>
        <v>2.8458183953701077</v>
      </c>
    </row>
    <row r="91" spans="1:13">
      <c r="B91" s="20">
        <f t="shared" si="15"/>
        <v>1.5800000000000015E-2</v>
      </c>
      <c r="C91" s="8">
        <f t="shared" si="17"/>
        <v>1.6116000000000015</v>
      </c>
      <c r="D91" s="2">
        <f t="shared" si="18"/>
        <v>141.62662821683386</v>
      </c>
      <c r="E91" s="3">
        <f t="shared" si="19"/>
        <v>2456.2211713893348</v>
      </c>
      <c r="F91" s="2">
        <f t="shared" si="21"/>
        <v>1.0542925177431801</v>
      </c>
      <c r="H91" s="8">
        <f t="shared" si="27"/>
        <v>3.6023481625463831</v>
      </c>
      <c r="I91" s="21">
        <f t="shared" si="26"/>
        <v>79</v>
      </c>
      <c r="J91" s="88">
        <f t="shared" si="23"/>
        <v>6715</v>
      </c>
      <c r="K91" s="2">
        <f t="shared" si="28"/>
        <v>45.551694446152908</v>
      </c>
      <c r="L91" s="2">
        <f t="shared" si="29"/>
        <v>387.18940279229969</v>
      </c>
      <c r="M91" s="2">
        <f t="shared" si="25"/>
        <v>2.8823032465928016</v>
      </c>
    </row>
    <row r="92" spans="1:13">
      <c r="B92" s="20">
        <f t="shared" si="15"/>
        <v>1.6000000000000014E-2</v>
      </c>
      <c r="C92" s="8">
        <f t="shared" si="17"/>
        <v>1.6320000000000012</v>
      </c>
      <c r="D92" s="2">
        <f t="shared" si="18"/>
        <v>143.70708358223601</v>
      </c>
      <c r="E92" s="3">
        <f t="shared" si="19"/>
        <v>2492.30237009448</v>
      </c>
      <c r="F92" s="2">
        <f t="shared" si="21"/>
        <v>1.0697797785278116</v>
      </c>
      <c r="H92" s="8">
        <f t="shared" si="27"/>
        <v>3.6354289294442932</v>
      </c>
      <c r="I92" s="21">
        <f t="shared" si="26"/>
        <v>80</v>
      </c>
      <c r="J92" s="88">
        <f t="shared" si="23"/>
        <v>6800</v>
      </c>
      <c r="K92" s="2">
        <f t="shared" si="28"/>
        <v>46.128298173319401</v>
      </c>
      <c r="L92" s="2">
        <f t="shared" si="29"/>
        <v>392.09053447321486</v>
      </c>
      <c r="M92" s="2">
        <f t="shared" si="25"/>
        <v>2.9187880978154954</v>
      </c>
    </row>
    <row r="93" spans="1:13">
      <c r="B93" s="20">
        <f t="shared" si="15"/>
        <v>1.6200000000000013E-2</v>
      </c>
      <c r="C93" s="8">
        <f t="shared" si="17"/>
        <v>1.6524000000000014</v>
      </c>
      <c r="D93" s="2">
        <f t="shared" si="18"/>
        <v>145.79548621702077</v>
      </c>
      <c r="E93" s="3">
        <f t="shared" si="19"/>
        <v>2528.5213977627095</v>
      </c>
      <c r="F93" s="2">
        <f t="shared" si="21"/>
        <v>1.0853262001267054</v>
      </c>
      <c r="H93" s="8">
        <f t="shared" si="27"/>
        <v>3.6683064037241087</v>
      </c>
      <c r="I93" s="21">
        <f t="shared" si="26"/>
        <v>81</v>
      </c>
      <c r="J93" s="88">
        <f t="shared" si="23"/>
        <v>6885</v>
      </c>
      <c r="K93" s="2">
        <f t="shared" si="28"/>
        <v>46.704901900485893</v>
      </c>
      <c r="L93" s="2">
        <f t="shared" si="29"/>
        <v>396.99166615413009</v>
      </c>
      <c r="M93" s="2">
        <f t="shared" si="25"/>
        <v>2.9552729490381893</v>
      </c>
    </row>
    <row r="94" spans="1:13">
      <c r="B94" s="20">
        <f t="shared" si="15"/>
        <v>1.6400000000000012E-2</v>
      </c>
      <c r="C94" s="8">
        <f t="shared" si="17"/>
        <v>1.672800000000001</v>
      </c>
      <c r="D94" s="2">
        <f t="shared" si="18"/>
        <v>147.89186647948941</v>
      </c>
      <c r="E94" s="3">
        <f t="shared" si="19"/>
        <v>2564.8787808960192</v>
      </c>
      <c r="F94" s="2">
        <f t="shared" si="21"/>
        <v>1.1009320085321792</v>
      </c>
      <c r="H94" s="8">
        <f t="shared" si="27"/>
        <v>3.7009830687377758</v>
      </c>
      <c r="I94" s="21">
        <f t="shared" si="26"/>
        <v>82</v>
      </c>
      <c r="J94" s="88">
        <f t="shared" si="23"/>
        <v>6970</v>
      </c>
      <c r="K94" s="2">
        <f t="shared" si="28"/>
        <v>47.281505627652386</v>
      </c>
      <c r="L94" s="2">
        <f t="shared" si="29"/>
        <v>401.89279783504526</v>
      </c>
      <c r="M94" s="2">
        <f t="shared" si="25"/>
        <v>2.9917578002608827</v>
      </c>
    </row>
    <row r="95" spans="1:13">
      <c r="B95" s="20">
        <f t="shared" si="15"/>
        <v>1.6600000000000011E-2</v>
      </c>
      <c r="C95" s="8">
        <f t="shared" si="17"/>
        <v>1.6932000000000009</v>
      </c>
      <c r="D95" s="2">
        <f t="shared" si="18"/>
        <v>149.99625484391095</v>
      </c>
      <c r="E95" s="3">
        <f t="shared" si="19"/>
        <v>2601.3750480076242</v>
      </c>
      <c r="F95" s="2">
        <f t="shared" si="21"/>
        <v>1.1165974305998334</v>
      </c>
      <c r="H95" s="8">
        <f t="shared" si="27"/>
        <v>3.7334613626097033</v>
      </c>
      <c r="I95" s="21">
        <f t="shared" si="26"/>
        <v>83</v>
      </c>
      <c r="J95" s="88">
        <f t="shared" si="23"/>
        <v>7055</v>
      </c>
      <c r="K95" s="2">
        <f t="shared" si="28"/>
        <v>47.858109354818879</v>
      </c>
      <c r="L95" s="2">
        <f t="shared" si="29"/>
        <v>406.79392951596043</v>
      </c>
      <c r="M95" s="2">
        <f t="shared" si="25"/>
        <v>3.0282426514835765</v>
      </c>
    </row>
    <row r="96" spans="1:13">
      <c r="B96" s="20">
        <f t="shared" si="15"/>
        <v>1.6800000000000009E-2</v>
      </c>
      <c r="C96" s="8">
        <f t="shared" si="17"/>
        <v>1.7136000000000009</v>
      </c>
      <c r="D96" s="2">
        <f t="shared" si="18"/>
        <v>152.10868190096483</v>
      </c>
      <c r="E96" s="3">
        <f t="shared" si="19"/>
        <v>2638.0107296296392</v>
      </c>
      <c r="F96" s="2">
        <f t="shared" si="21"/>
        <v>1.1323226940518474</v>
      </c>
      <c r="H96" s="8">
        <f t="shared" si="27"/>
        <v>3.7657436793283923</v>
      </c>
      <c r="I96" s="21">
        <f t="shared" si="26"/>
        <v>84</v>
      </c>
      <c r="J96" s="88">
        <f t="shared" si="23"/>
        <v>7140</v>
      </c>
      <c r="K96" s="2">
        <f t="shared" si="28"/>
        <v>48.434713081985372</v>
      </c>
      <c r="L96" s="2">
        <f t="shared" si="29"/>
        <v>411.69506119687566</v>
      </c>
      <c r="M96" s="2">
        <f t="shared" si="25"/>
        <v>3.0647275027062704</v>
      </c>
    </row>
    <row r="97" spans="1:13">
      <c r="B97" s="20">
        <f t="shared" si="15"/>
        <v>1.7000000000000008E-2</v>
      </c>
      <c r="C97" s="8">
        <f t="shared" si="17"/>
        <v>1.7340000000000009</v>
      </c>
      <c r="D97" s="2">
        <f t="shared" si="18"/>
        <v>154.22917835818612</v>
      </c>
      <c r="E97" s="3">
        <f t="shared" si="19"/>
        <v>2674.7863583207977</v>
      </c>
      <c r="F97" s="2">
        <f t="shared" si="21"/>
        <v>1.1481080274802937</v>
      </c>
      <c r="H97" s="8">
        <f t="shared" si="27"/>
        <v>3.7978323698053393</v>
      </c>
      <c r="I97" s="21">
        <f t="shared" si="26"/>
        <v>85</v>
      </c>
      <c r="J97" s="88">
        <f t="shared" si="23"/>
        <v>7225</v>
      </c>
      <c r="K97" s="2">
        <f t="shared" si="28"/>
        <v>49.011316809151857</v>
      </c>
      <c r="L97" s="2">
        <f t="shared" si="29"/>
        <v>416.59619287779083</v>
      </c>
      <c r="M97" s="2">
        <f t="shared" si="25"/>
        <v>3.1012123539289638</v>
      </c>
    </row>
    <row r="98" spans="1:13">
      <c r="B98" s="20">
        <f t="shared" si="15"/>
        <v>1.7200000000000007E-2</v>
      </c>
      <c r="C98" s="8">
        <f t="shared" si="17"/>
        <v>1.7544000000000008</v>
      </c>
      <c r="D98" s="2">
        <f t="shared" si="18"/>
        <v>156.3577750404113</v>
      </c>
      <c r="E98" s="3">
        <f t="shared" si="19"/>
        <v>2711.7024686741834</v>
      </c>
      <c r="F98" s="2">
        <f t="shared" si="21"/>
        <v>1.1639536603504563</v>
      </c>
      <c r="H98" s="8">
        <f t="shared" si="27"/>
        <v>3.8297297429023778</v>
      </c>
      <c r="I98" s="21">
        <f t="shared" si="26"/>
        <v>86</v>
      </c>
      <c r="J98" s="88">
        <f t="shared" si="23"/>
        <v>7310</v>
      </c>
      <c r="K98" s="2">
        <f t="shared" si="28"/>
        <v>49.58792053631835</v>
      </c>
      <c r="L98" s="2">
        <f t="shared" si="29"/>
        <v>421.497324558706</v>
      </c>
      <c r="M98" s="2">
        <f t="shared" si="25"/>
        <v>3.1376972051516576</v>
      </c>
    </row>
    <row r="99" spans="1:13">
      <c r="B99" s="20">
        <f t="shared" si="15"/>
        <v>1.7400000000000006E-2</v>
      </c>
      <c r="C99" s="8">
        <f t="shared" si="17"/>
        <v>1.7748000000000004</v>
      </c>
      <c r="D99" s="2">
        <f t="shared" si="18"/>
        <v>158.49450289022707</v>
      </c>
      <c r="E99" s="3">
        <f t="shared" si="19"/>
        <v>2748.759597325015</v>
      </c>
      <c r="F99" s="2">
        <f t="shared" si="21"/>
        <v>1.1798598230041717</v>
      </c>
      <c r="H99" s="8">
        <f t="shared" si="27"/>
        <v>3.8614380664285579</v>
      </c>
      <c r="I99" s="21">
        <f t="shared" si="26"/>
        <v>87</v>
      </c>
      <c r="J99" s="88">
        <f t="shared" si="23"/>
        <v>7395</v>
      </c>
      <c r="K99" s="2">
        <f t="shared" si="28"/>
        <v>50.164524263484843</v>
      </c>
      <c r="L99" s="2">
        <f t="shared" si="29"/>
        <v>426.39845623962117</v>
      </c>
      <c r="M99" s="2">
        <f t="shared" si="25"/>
        <v>3.174182056374351</v>
      </c>
    </row>
    <row r="100" spans="1:13">
      <c r="B100" s="20">
        <f t="shared" si="15"/>
        <v>1.7600000000000005E-2</v>
      </c>
      <c r="C100" s="8">
        <f t="shared" si="17"/>
        <v>1.7952000000000004</v>
      </c>
      <c r="D100" s="2">
        <f t="shared" si="18"/>
        <v>160.63939296841966</v>
      </c>
      <c r="E100" s="3">
        <f t="shared" si="19"/>
        <v>2785.9582829584374</v>
      </c>
      <c r="F100" s="2">
        <f t="shared" si="21"/>
        <v>1.1958267466631736</v>
      </c>
      <c r="H100" s="8">
        <f t="shared" si="27"/>
        <v>3.8929595681076736</v>
      </c>
      <c r="I100" s="21">
        <f t="shared" si="26"/>
        <v>88</v>
      </c>
      <c r="J100" s="88">
        <f t="shared" si="23"/>
        <v>7480</v>
      </c>
      <c r="K100" s="2">
        <f t="shared" si="28"/>
        <v>50.741127990651336</v>
      </c>
      <c r="L100" s="2">
        <f t="shared" si="29"/>
        <v>431.2995879205364</v>
      </c>
      <c r="M100" s="2">
        <f t="shared" si="25"/>
        <v>3.2106669075970453</v>
      </c>
    </row>
    <row r="101" spans="1:13">
      <c r="B101" s="20">
        <f t="shared" si="15"/>
        <v>1.7800000000000003E-2</v>
      </c>
      <c r="C101" s="8">
        <f t="shared" si="17"/>
        <v>1.8156000000000001</v>
      </c>
      <c r="D101" s="2">
        <f t="shared" si="18"/>
        <v>162.79247645442615</v>
      </c>
      <c r="E101" s="3">
        <f t="shared" si="19"/>
        <v>2823.2990663173487</v>
      </c>
      <c r="F101" s="2">
        <f t="shared" si="21"/>
        <v>1.2118546634324527</v>
      </c>
      <c r="H101" s="8">
        <f t="shared" si="27"/>
        <v>3.9242964365174484</v>
      </c>
      <c r="I101" s="21">
        <f t="shared" si="26"/>
        <v>89</v>
      </c>
      <c r="J101" s="88">
        <f t="shared" si="23"/>
        <v>7565</v>
      </c>
      <c r="K101" s="2">
        <f t="shared" si="28"/>
        <v>51.317731717817828</v>
      </c>
      <c r="L101" s="2">
        <f t="shared" si="29"/>
        <v>436.20071960145157</v>
      </c>
      <c r="M101" s="2">
        <f t="shared" si="25"/>
        <v>3.2471517588197387</v>
      </c>
    </row>
    <row r="102" spans="1:13">
      <c r="B102" s="20">
        <f t="shared" si="15"/>
        <v>1.8000000000000002E-2</v>
      </c>
      <c r="C102" s="8">
        <f t="shared" si="17"/>
        <v>1.8360000000000001</v>
      </c>
      <c r="D102" s="2">
        <f t="shared" si="18"/>
        <v>164.95378464678856</v>
      </c>
      <c r="E102" s="3">
        <f t="shared" si="19"/>
        <v>2860.782490210277</v>
      </c>
      <c r="F102" s="2">
        <f t="shared" si="21"/>
        <v>1.227943806303637</v>
      </c>
      <c r="H102" s="8">
        <f t="shared" si="27"/>
        <v>3.9554508220013758</v>
      </c>
      <c r="I102" s="21">
        <f t="shared" si="26"/>
        <v>90</v>
      </c>
      <c r="J102" s="88">
        <f t="shared" si="23"/>
        <v>7650</v>
      </c>
      <c r="K102" s="2">
        <f t="shared" si="28"/>
        <v>51.894335444984321</v>
      </c>
      <c r="L102" s="2">
        <f t="shared" si="29"/>
        <v>441.10185128236674</v>
      </c>
      <c r="M102" s="2">
        <f t="shared" si="25"/>
        <v>3.2836366100424326</v>
      </c>
    </row>
    <row r="103" spans="1:13">
      <c r="B103" s="20">
        <f t="shared" ref="B103:B166" si="30">B102+0.0002</f>
        <v>1.8200000000000001E-2</v>
      </c>
      <c r="C103" s="8">
        <f t="shared" si="17"/>
        <v>1.8564000000000001</v>
      </c>
      <c r="D103" s="2">
        <f t="shared" si="18"/>
        <v>167.12334896360778</v>
      </c>
      <c r="E103" s="3">
        <f t="shared" si="19"/>
        <v>2898.4090995192519</v>
      </c>
      <c r="F103" s="2">
        <f t="shared" si="21"/>
        <v>1.2440944091583706</v>
      </c>
      <c r="H103" s="8">
        <f t="shared" si="27"/>
        <v>3.9864248375541611</v>
      </c>
      <c r="I103" s="21">
        <f t="shared" si="26"/>
        <v>91</v>
      </c>
      <c r="J103" s="88">
        <f t="shared" si="23"/>
        <v>7735</v>
      </c>
      <c r="K103" s="2">
        <f t="shared" si="28"/>
        <v>52.470939172150814</v>
      </c>
      <c r="L103" s="2">
        <f t="shared" si="29"/>
        <v>446.00298296328191</v>
      </c>
      <c r="M103" s="2">
        <f t="shared" si="25"/>
        <v>3.3201214612651255</v>
      </c>
    </row>
    <row r="104" spans="1:13">
      <c r="B104" s="20">
        <f t="shared" si="30"/>
        <v>1.84E-2</v>
      </c>
      <c r="C104" s="8">
        <f t="shared" si="17"/>
        <v>1.8768</v>
      </c>
      <c r="D104" s="2">
        <f t="shared" si="18"/>
        <v>169.30120094300116</v>
      </c>
      <c r="E104" s="3">
        <f t="shared" si="19"/>
        <v>2936.1794412077393</v>
      </c>
      <c r="F104" s="2">
        <f t="shared" si="21"/>
        <v>1.2603067067717209</v>
      </c>
      <c r="H104" s="8">
        <f t="shared" si="27"/>
        <v>4.0172205596816797</v>
      </c>
      <c r="I104" s="21">
        <f t="shared" si="26"/>
        <v>92</v>
      </c>
      <c r="J104" s="88">
        <f t="shared" si="23"/>
        <v>7820</v>
      </c>
      <c r="K104" s="2">
        <f t="shared" si="28"/>
        <v>53.047542899317307</v>
      </c>
      <c r="L104" s="2">
        <f t="shared" si="29"/>
        <v>450.90411464419714</v>
      </c>
      <c r="M104" s="2">
        <f t="shared" si="25"/>
        <v>3.3566063124878198</v>
      </c>
    </row>
    <row r="105" spans="1:13">
      <c r="B105" s="20">
        <f t="shared" si="30"/>
        <v>1.8599999999999998E-2</v>
      </c>
      <c r="C105" s="8">
        <f t="shared" si="17"/>
        <v>1.8971999999999996</v>
      </c>
      <c r="D105" s="2">
        <f t="shared" si="18"/>
        <v>171.48737224356023</v>
      </c>
      <c r="E105" s="3">
        <f t="shared" si="19"/>
        <v>2974.0940643285817</v>
      </c>
      <c r="F105" s="2">
        <f t="shared" si="21"/>
        <v>1.2765809348155848</v>
      </c>
      <c r="H105" s="8">
        <f t="shared" si="27"/>
        <v>4.0478400292363323</v>
      </c>
      <c r="I105" s="21">
        <f t="shared" si="26"/>
        <v>93</v>
      </c>
      <c r="J105" s="88">
        <f t="shared" si="23"/>
        <v>7905</v>
      </c>
      <c r="K105" s="2">
        <f t="shared" si="28"/>
        <v>53.6241466264838</v>
      </c>
      <c r="L105" s="2">
        <f t="shared" si="29"/>
        <v>455.80524632511231</v>
      </c>
      <c r="M105" s="2">
        <f t="shared" si="25"/>
        <v>3.3930911637105132</v>
      </c>
    </row>
    <row r="106" spans="1:13">
      <c r="B106" s="20">
        <f t="shared" si="30"/>
        <v>1.8799999999999997E-2</v>
      </c>
      <c r="C106" s="8">
        <f t="shared" si="17"/>
        <v>1.9175999999999995</v>
      </c>
      <c r="D106" s="2">
        <f t="shared" si="18"/>
        <v>173.68189464481156</v>
      </c>
      <c r="E106" s="3">
        <f t="shared" si="19"/>
        <v>3012.1535200319904</v>
      </c>
      <c r="F106" s="2">
        <f t="shared" si="21"/>
        <v>1.2929173298621208</v>
      </c>
      <c r="H106" s="8">
        <f t="shared" si="27"/>
        <v>4.0782852522286239</v>
      </c>
      <c r="I106" s="21">
        <f t="shared" si="26"/>
        <v>94</v>
      </c>
      <c r="J106" s="88">
        <f t="shared" si="23"/>
        <v>7990</v>
      </c>
      <c r="K106" s="2">
        <f t="shared" si="28"/>
        <v>54.200750353650292</v>
      </c>
      <c r="L106" s="2">
        <f t="shared" si="29"/>
        <v>460.70637800602748</v>
      </c>
      <c r="M106" s="2">
        <f t="shared" si="25"/>
        <v>3.4295760149332071</v>
      </c>
    </row>
    <row r="107" spans="1:13">
      <c r="A107" s="14"/>
      <c r="B107" s="20">
        <f t="shared" si="30"/>
        <v>1.8999999999999996E-2</v>
      </c>
      <c r="C107" s="8">
        <f t="shared" si="17"/>
        <v>1.9379999999999995</v>
      </c>
      <c r="D107" s="2">
        <f t="shared" si="18"/>
        <v>175.88480004767837</v>
      </c>
      <c r="E107" s="3">
        <f t="shared" si="19"/>
        <v>3050.3583615735492</v>
      </c>
      <c r="F107" s="2">
        <f t="shared" si="21"/>
        <v>1.3093161293871838</v>
      </c>
      <c r="H107" s="8">
        <f t="shared" si="27"/>
        <v>4.1085582006157759</v>
      </c>
      <c r="I107" s="21">
        <f t="shared" si="26"/>
        <v>95</v>
      </c>
      <c r="J107" s="88">
        <f t="shared" si="23"/>
        <v>8075</v>
      </c>
      <c r="K107" s="2">
        <f t="shared" si="28"/>
        <v>54.777354080816785</v>
      </c>
      <c r="L107" s="2">
        <f t="shared" si="29"/>
        <v>465.60750968694265</v>
      </c>
      <c r="M107" s="2">
        <f t="shared" si="25"/>
        <v>3.4660608661559005</v>
      </c>
    </row>
    <row r="108" spans="1:13">
      <c r="A108" s="87"/>
      <c r="B108" s="20">
        <f t="shared" si="30"/>
        <v>1.9199999999999995E-2</v>
      </c>
      <c r="C108" s="8">
        <f t="shared" si="17"/>
        <v>1.9583999999999995</v>
      </c>
      <c r="D108" s="2">
        <f t="shared" si="18"/>
        <v>178.09612047494454</v>
      </c>
      <c r="E108" s="3">
        <f t="shared" si="19"/>
        <v>3088.7091443222644</v>
      </c>
      <c r="F108" s="2">
        <f t="shared" si="21"/>
        <v>1.3257775717737807</v>
      </c>
      <c r="H108" s="8">
        <f t="shared" si="27"/>
        <v>4.1386608130681752</v>
      </c>
      <c r="I108" s="21">
        <f t="shared" si="26"/>
        <v>96</v>
      </c>
      <c r="J108" s="88">
        <f t="shared" si="23"/>
        <v>8160</v>
      </c>
      <c r="K108" s="2">
        <f t="shared" si="28"/>
        <v>55.353957807983278</v>
      </c>
      <c r="L108" s="2">
        <f t="shared" si="29"/>
        <v>470.50864136785788</v>
      </c>
      <c r="M108" s="2">
        <f t="shared" si="25"/>
        <v>3.5025457173785948</v>
      </c>
    </row>
    <row r="109" spans="1:13">
      <c r="A109" s="87"/>
      <c r="B109" s="20">
        <f t="shared" si="30"/>
        <v>1.9399999999999994E-2</v>
      </c>
      <c r="C109" s="8">
        <f t="shared" ref="C109:C172" si="31">$B109*((100-$A$9)/100)*$A$4*100</f>
        <v>1.9787999999999992</v>
      </c>
      <c r="D109" s="2">
        <f t="shared" si="18"/>
        <v>180.3158880717192</v>
      </c>
      <c r="E109" s="3">
        <f t="shared" si="19"/>
        <v>3127.2064257686211</v>
      </c>
      <c r="F109" s="2">
        <f t="shared" si="21"/>
        <v>1.3423018963155275</v>
      </c>
      <c r="H109" s="8">
        <f t="shared" si="27"/>
        <v>4.1685949957143453</v>
      </c>
      <c r="I109" s="21">
        <f t="shared" si="26"/>
        <v>97</v>
      </c>
      <c r="J109" s="88">
        <f t="shared" si="23"/>
        <v>8245</v>
      </c>
      <c r="K109" s="2">
        <f t="shared" si="28"/>
        <v>55.930561535149771</v>
      </c>
      <c r="L109" s="2">
        <f t="shared" si="29"/>
        <v>475.40977304877305</v>
      </c>
      <c r="M109" s="2">
        <f t="shared" si="25"/>
        <v>3.5390305686012882</v>
      </c>
    </row>
    <row r="110" spans="1:13">
      <c r="A110" s="87"/>
      <c r="B110" s="20">
        <f t="shared" si="30"/>
        <v>1.9599999999999992E-2</v>
      </c>
      <c r="C110" s="8">
        <f t="shared" si="31"/>
        <v>1.999199999999999</v>
      </c>
      <c r="D110" s="2">
        <f t="shared" si="18"/>
        <v>182.54413510590564</v>
      </c>
      <c r="E110" s="3">
        <f t="shared" si="19"/>
        <v>3165.8507655327139</v>
      </c>
      <c r="F110" s="2">
        <f t="shared" si="21"/>
        <v>1.3588893432201412</v>
      </c>
      <c r="H110" s="8">
        <f t="shared" si="27"/>
        <v>4.1983626228652264</v>
      </c>
      <c r="I110" s="21">
        <f t="shared" si="26"/>
        <v>98</v>
      </c>
      <c r="J110" s="88">
        <f t="shared" si="23"/>
        <v>8330</v>
      </c>
      <c r="K110" s="2">
        <f t="shared" si="28"/>
        <v>56.507165262316263</v>
      </c>
      <c r="L110" s="2">
        <f t="shared" si="29"/>
        <v>480.31090472968822</v>
      </c>
      <c r="M110" s="2">
        <f t="shared" si="25"/>
        <v>3.5755154198239816</v>
      </c>
    </row>
    <row r="111" spans="1:13">
      <c r="A111" s="87"/>
      <c r="B111" s="20">
        <f t="shared" si="30"/>
        <v>1.9799999999999991E-2</v>
      </c>
      <c r="C111" s="8">
        <f t="shared" si="31"/>
        <v>2.0195999999999992</v>
      </c>
      <c r="D111" s="2">
        <f t="shared" si="18"/>
        <v>184.78089396866869</v>
      </c>
      <c r="E111" s="3">
        <f t="shared" si="19"/>
        <v>3204.6427253723559</v>
      </c>
      <c r="F111" s="2">
        <f t="shared" si="21"/>
        <v>1.3755401536129184</v>
      </c>
      <c r="H111" s="8">
        <f t="shared" si="27"/>
        <v>4.2279655377183962</v>
      </c>
      <c r="I111" s="21">
        <f t="shared" si="26"/>
        <v>99</v>
      </c>
      <c r="J111" s="88">
        <f t="shared" si="23"/>
        <v>8415</v>
      </c>
      <c r="K111" s="2">
        <f t="shared" si="28"/>
        <v>57.083768989482756</v>
      </c>
      <c r="L111" s="2">
        <f t="shared" si="29"/>
        <v>485.21203641060345</v>
      </c>
      <c r="M111" s="2">
        <f t="shared" si="25"/>
        <v>3.6120002710466754</v>
      </c>
    </row>
    <row r="112" spans="1:13">
      <c r="A112" s="87"/>
      <c r="B112" s="20">
        <f t="shared" si="30"/>
        <v>1.999999999999999E-2</v>
      </c>
      <c r="C112" s="8">
        <f t="shared" si="31"/>
        <v>2.0399999999999987</v>
      </c>
      <c r="D112" s="2">
        <f t="shared" si="18"/>
        <v>187.02619717490688</v>
      </c>
      <c r="E112" s="3">
        <f t="shared" si="19"/>
        <v>3243.5828691912648</v>
      </c>
      <c r="F112" s="2">
        <f t="shared" si="21"/>
        <v>1.3922545695402497</v>
      </c>
      <c r="H112" s="8">
        <f t="shared" ref="H112" si="32">5.35*LN(($A$7+L112)/$A$7)</f>
        <v>4.2574055530429158</v>
      </c>
      <c r="I112" s="21">
        <f t="shared" si="26"/>
        <v>100</v>
      </c>
      <c r="J112" s="88">
        <f t="shared" ref="J112" si="33">I112*85</f>
        <v>8500</v>
      </c>
      <c r="K112" s="2">
        <f t="shared" ref="K112" si="34">I112*10/$A$5</f>
        <v>57.660372716649249</v>
      </c>
      <c r="L112" s="2">
        <f t="shared" ref="L112" si="35">I112*85/$A$5</f>
        <v>490.11316809151862</v>
      </c>
      <c r="M112" s="2">
        <f t="shared" si="25"/>
        <v>3.6484851222693693</v>
      </c>
    </row>
    <row r="113" spans="1:6">
      <c r="A113" s="87"/>
      <c r="B113" s="20">
        <f t="shared" si="30"/>
        <v>2.0199999999999989E-2</v>
      </c>
      <c r="C113" s="8">
        <f t="shared" si="31"/>
        <v>2.0603999999999987</v>
      </c>
      <c r="D113" s="2">
        <f t="shared" si="18"/>
        <v>189.28007736372433</v>
      </c>
      <c r="E113" s="3">
        <f t="shared" si="19"/>
        <v>3282.6717630472463</v>
      </c>
      <c r="F113" s="2">
        <f t="shared" si="21"/>
        <v>1.4090328339731339</v>
      </c>
    </row>
    <row r="114" spans="1:6">
      <c r="A114" s="14"/>
      <c r="B114" s="20">
        <f t="shared" si="30"/>
        <v>2.0399999999999988E-2</v>
      </c>
      <c r="C114" s="8">
        <f t="shared" si="31"/>
        <v>2.0807999999999987</v>
      </c>
      <c r="D114" s="2">
        <f t="shared" si="18"/>
        <v>191.54256729890517</v>
      </c>
      <c r="E114" s="3">
        <f t="shared" si="19"/>
        <v>3321.9099751604253</v>
      </c>
      <c r="F114" s="2">
        <f t="shared" si="21"/>
        <v>1.4258751908107083</v>
      </c>
    </row>
    <row r="115" spans="1:6">
      <c r="A115" s="14"/>
      <c r="B115" s="20">
        <f t="shared" si="30"/>
        <v>2.0599999999999986E-2</v>
      </c>
      <c r="C115" s="8">
        <f t="shared" si="31"/>
        <v>2.1011999999999982</v>
      </c>
      <c r="D115" s="2">
        <f t="shared" si="18"/>
        <v>193.81369986939069</v>
      </c>
      <c r="E115" s="3">
        <f t="shared" si="19"/>
        <v>3361.2980759215175</v>
      </c>
      <c r="F115" s="2">
        <f t="shared" si="21"/>
        <v>1.4427818848838017</v>
      </c>
    </row>
    <row r="116" spans="1:6">
      <c r="B116" s="20">
        <f t="shared" si="30"/>
        <v>2.0799999999999985E-2</v>
      </c>
      <c r="C116" s="8">
        <f t="shared" si="31"/>
        <v>2.1215999999999986</v>
      </c>
      <c r="D116" s="2">
        <f t="shared" si="18"/>
        <v>196.09350808975626</v>
      </c>
      <c r="E116" s="3">
        <f t="shared" si="19"/>
        <v>3400.8366379001031</v>
      </c>
      <c r="F116" s="2">
        <f t="shared" si="21"/>
        <v>1.4597531619584834</v>
      </c>
    </row>
    <row r="117" spans="1:6">
      <c r="B117" s="20">
        <f t="shared" si="30"/>
        <v>2.0999999999999984E-2</v>
      </c>
      <c r="C117" s="8">
        <f t="shared" si="31"/>
        <v>2.1419999999999981</v>
      </c>
      <c r="D117" s="2">
        <f t="shared" si="18"/>
        <v>198.38202510069209</v>
      </c>
      <c r="E117" s="3">
        <f t="shared" si="19"/>
        <v>3440.5262358529626</v>
      </c>
      <c r="F117" s="2">
        <f t="shared" si="21"/>
        <v>1.4767892687396433</v>
      </c>
    </row>
    <row r="118" spans="1:6">
      <c r="B118" s="20">
        <f t="shared" si="30"/>
        <v>2.1199999999999983E-2</v>
      </c>
      <c r="C118" s="8">
        <f t="shared" si="31"/>
        <v>2.1623999999999985</v>
      </c>
      <c r="D118" s="2">
        <f t="shared" si="18"/>
        <v>200.67928416948484</v>
      </c>
      <c r="E118" s="3">
        <f t="shared" si="19"/>
        <v>3480.3674467324304</v>
      </c>
      <c r="F118" s="2">
        <f t="shared" si="21"/>
        <v>1.4938904528745771</v>
      </c>
    </row>
    <row r="119" spans="1:6">
      <c r="B119" s="20">
        <f t="shared" si="30"/>
        <v>2.1399999999999982E-2</v>
      </c>
      <c r="C119" s="8">
        <f t="shared" si="31"/>
        <v>2.1827999999999981</v>
      </c>
      <c r="D119" s="2">
        <f t="shared" si="18"/>
        <v>202.98531869050066</v>
      </c>
      <c r="E119" s="3">
        <f t="shared" si="19"/>
        <v>3520.3608496947732</v>
      </c>
      <c r="F119" s="2">
        <f t="shared" si="21"/>
        <v>1.5110569629565807</v>
      </c>
    </row>
    <row r="120" spans="1:6">
      <c r="B120" s="20">
        <f t="shared" si="30"/>
        <v>2.159999999999998E-2</v>
      </c>
      <c r="C120" s="8">
        <f t="shared" si="31"/>
        <v>2.203199999999998</v>
      </c>
      <c r="D120" s="2">
        <f t="shared" si="18"/>
        <v>205.30016218567152</v>
      </c>
      <c r="E120" s="3">
        <f t="shared" si="19"/>
        <v>3560.5070261086216</v>
      </c>
      <c r="F120" s="2">
        <f t="shared" si="21"/>
        <v>1.5282890485285721</v>
      </c>
    </row>
    <row r="121" spans="1:6">
      <c r="B121" s="20">
        <f t="shared" si="30"/>
        <v>2.1799999999999979E-2</v>
      </c>
      <c r="C121" s="8">
        <f t="shared" si="31"/>
        <v>2.2235999999999976</v>
      </c>
      <c r="D121" s="2">
        <f t="shared" ref="D121:D155" si="36">$A$6 * POWER(2.718,(C121+$A$8)/5.35) - $A$7</f>
        <v>207.62384830498149</v>
      </c>
      <c r="E121" s="3">
        <f t="shared" ref="E121:E155" si="37">D121*$A$5</f>
        <v>3600.8065595634066</v>
      </c>
      <c r="F121" s="2">
        <f t="shared" si="21"/>
        <v>1.5455869600867109</v>
      </c>
    </row>
    <row r="122" spans="1:6">
      <c r="B122" s="20">
        <f t="shared" si="30"/>
        <v>2.1999999999999978E-2</v>
      </c>
      <c r="C122" s="8">
        <f t="shared" si="31"/>
        <v>2.2439999999999976</v>
      </c>
      <c r="D122" s="2">
        <f t="shared" si="36"/>
        <v>209.95641082695727</v>
      </c>
      <c r="E122" s="3">
        <f t="shared" si="37"/>
        <v>3641.2600358778641</v>
      </c>
      <c r="F122" s="2">
        <f t="shared" si="21"/>
        <v>1.5629509490840492</v>
      </c>
    </row>
    <row r="123" spans="1:6">
      <c r="B123" s="20">
        <f t="shared" si="30"/>
        <v>2.2199999999999977E-2</v>
      </c>
      <c r="C123" s="8">
        <f t="shared" si="31"/>
        <v>2.2643999999999975</v>
      </c>
      <c r="D123" s="2">
        <f t="shared" si="36"/>
        <v>212.29788365915749</v>
      </c>
      <c r="E123" s="3">
        <f t="shared" si="37"/>
        <v>3681.868043108524</v>
      </c>
      <c r="F123" s="2">
        <f t="shared" si="21"/>
        <v>1.5803812679341749</v>
      </c>
    </row>
    <row r="124" spans="1:6">
      <c r="B124" s="20">
        <f t="shared" si="30"/>
        <v>2.2399999999999975E-2</v>
      </c>
      <c r="C124" s="8">
        <f t="shared" si="31"/>
        <v>2.2847999999999971</v>
      </c>
      <c r="D124" s="2">
        <f t="shared" si="36"/>
        <v>214.64830083866707</v>
      </c>
      <c r="E124" s="3">
        <f t="shared" si="37"/>
        <v>3722.6311715582801</v>
      </c>
      <c r="F124" s="2">
        <f t="shared" si="21"/>
        <v>1.5978781700148914</v>
      </c>
    </row>
    <row r="125" spans="1:6">
      <c r="B125" s="20">
        <f t="shared" si="30"/>
        <v>2.2599999999999974E-2</v>
      </c>
      <c r="C125" s="8">
        <f t="shared" si="31"/>
        <v>2.305199999999997</v>
      </c>
      <c r="D125" s="2">
        <f t="shared" si="36"/>
        <v>217.00769653259124</v>
      </c>
      <c r="E125" s="3">
        <f t="shared" si="37"/>
        <v>3763.5500137849604</v>
      </c>
      <c r="F125" s="2">
        <f t="shared" si="21"/>
        <v>1.615441909671895</v>
      </c>
    </row>
    <row r="126" spans="1:6">
      <c r="B126" s="20">
        <f t="shared" si="30"/>
        <v>2.2799999999999973E-2</v>
      </c>
      <c r="C126" s="8">
        <f t="shared" si="31"/>
        <v>2.325599999999997</v>
      </c>
      <c r="D126" s="2">
        <f t="shared" si="36"/>
        <v>219.37610503855274</v>
      </c>
      <c r="E126" s="3">
        <f t="shared" si="37"/>
        <v>3804.6251646099504</v>
      </c>
      <c r="F126" s="2">
        <f t="shared" si="21"/>
        <v>1.6330727422224769</v>
      </c>
    </row>
    <row r="127" spans="1:6">
      <c r="B127" s="20">
        <f t="shared" si="30"/>
        <v>2.2999999999999972E-2</v>
      </c>
      <c r="C127" s="8">
        <f t="shared" si="31"/>
        <v>2.345999999999997</v>
      </c>
      <c r="D127" s="2">
        <f t="shared" si="36"/>
        <v>221.75356078518939</v>
      </c>
      <c r="E127" s="3">
        <f t="shared" si="37"/>
        <v>3845.8572211268201</v>
      </c>
      <c r="F127" s="2">
        <f t="shared" si="21"/>
        <v>1.6507709239592263</v>
      </c>
    </row>
    <row r="128" spans="1:6">
      <c r="B128" s="20">
        <f t="shared" si="30"/>
        <v>2.3199999999999971E-2</v>
      </c>
      <c r="C128" s="8">
        <f t="shared" si="31"/>
        <v>2.366399999999997</v>
      </c>
      <c r="D128" s="2">
        <f t="shared" si="36"/>
        <v>224.14009833265607</v>
      </c>
      <c r="E128" s="3">
        <f t="shared" si="37"/>
        <v>3887.2467827100313</v>
      </c>
      <c r="F128" s="2">
        <f t="shared" si="21"/>
        <v>1.6685367121537673</v>
      </c>
    </row>
    <row r="129" spans="2:6">
      <c r="B129" s="20">
        <f t="shared" si="30"/>
        <v>2.3399999999999969E-2</v>
      </c>
      <c r="C129" s="8">
        <f t="shared" si="31"/>
        <v>2.3867999999999969</v>
      </c>
      <c r="D129" s="2">
        <f t="shared" si="36"/>
        <v>226.53575237312555</v>
      </c>
      <c r="E129" s="3">
        <f t="shared" si="37"/>
        <v>3928.7944510236243</v>
      </c>
      <c r="F129" s="2">
        <f t="shared" si="21"/>
        <v>1.686370365060488</v>
      </c>
    </row>
    <row r="130" spans="2:6">
      <c r="B130" s="20">
        <f t="shared" si="30"/>
        <v>2.3599999999999968E-2</v>
      </c>
      <c r="C130" s="8">
        <f t="shared" si="31"/>
        <v>2.4071999999999965</v>
      </c>
      <c r="D130" s="2">
        <f t="shared" si="36"/>
        <v>228.94055773129401</v>
      </c>
      <c r="E130" s="3">
        <f t="shared" si="37"/>
        <v>3970.5008300299828</v>
      </c>
      <c r="F130" s="2">
        <f t="shared" si="21"/>
        <v>1.7042721419203029</v>
      </c>
    </row>
    <row r="131" spans="2:6">
      <c r="B131" s="20">
        <f t="shared" si="30"/>
        <v>2.3799999999999967E-2</v>
      </c>
      <c r="C131" s="8">
        <f t="shared" si="31"/>
        <v>2.4275999999999964</v>
      </c>
      <c r="D131" s="2">
        <f t="shared" si="36"/>
        <v>231.35454936488679</v>
      </c>
      <c r="E131" s="3">
        <f t="shared" si="37"/>
        <v>4012.3665259986069</v>
      </c>
      <c r="F131" s="2">
        <f t="shared" si="21"/>
        <v>1.7222423029644178</v>
      </c>
    </row>
    <row r="132" spans="2:6">
      <c r="B132" s="20">
        <f t="shared" si="30"/>
        <v>2.3999999999999966E-2</v>
      </c>
      <c r="C132" s="8">
        <f t="shared" si="31"/>
        <v>2.4479999999999964</v>
      </c>
      <c r="D132" s="2">
        <f t="shared" si="36"/>
        <v>233.77776236516615</v>
      </c>
      <c r="E132" s="3">
        <f t="shared" si="37"/>
        <v>4054.3921475149186</v>
      </c>
      <c r="F132" s="2">
        <f t="shared" si="21"/>
        <v>1.7402811094181103</v>
      </c>
    </row>
    <row r="133" spans="2:6">
      <c r="B133" s="20">
        <f t="shared" si="30"/>
        <v>2.4199999999999965E-2</v>
      </c>
      <c r="C133" s="8">
        <f t="shared" si="31"/>
        <v>2.4683999999999959</v>
      </c>
      <c r="D133" s="2">
        <f t="shared" si="36"/>
        <v>236.21023195744226</v>
      </c>
      <c r="E133" s="3">
        <f t="shared" si="37"/>
        <v>4096.5783054891235</v>
      </c>
      <c r="F133" s="2">
        <f t="shared" si="21"/>
        <v>1.7583888235045328</v>
      </c>
    </row>
    <row r="134" spans="2:6">
      <c r="B134" s="20">
        <f t="shared" si="30"/>
        <v>2.4399999999999963E-2</v>
      </c>
      <c r="C134" s="8">
        <f t="shared" si="31"/>
        <v>2.4887999999999963</v>
      </c>
      <c r="D134" s="2">
        <f t="shared" si="36"/>
        <v>238.65199350158468</v>
      </c>
      <c r="E134" s="3">
        <f t="shared" si="37"/>
        <v>4138.9256131650827</v>
      </c>
      <c r="F134" s="2">
        <f t="shared" si="21"/>
        <v>1.7765657084485211</v>
      </c>
    </row>
    <row r="135" spans="2:6">
      <c r="B135" s="20">
        <f t="shared" si="30"/>
        <v>2.4599999999999962E-2</v>
      </c>
      <c r="C135" s="8">
        <f t="shared" si="31"/>
        <v>2.5091999999999959</v>
      </c>
      <c r="D135" s="2">
        <f t="shared" si="36"/>
        <v>241.10308249253603</v>
      </c>
      <c r="E135" s="3">
        <f t="shared" si="37"/>
        <v>4181.4346861292188</v>
      </c>
      <c r="F135" s="2">
        <f t="shared" si="21"/>
        <v>1.7948120284804172</v>
      </c>
    </row>
    <row r="136" spans="2:6">
      <c r="B136" s="20">
        <f t="shared" si="30"/>
        <v>2.4799999999999961E-2</v>
      </c>
      <c r="C136" s="8">
        <f t="shared" si="31"/>
        <v>2.5295999999999963</v>
      </c>
      <c r="D136" s="2">
        <f t="shared" si="36"/>
        <v>243.56353456082934</v>
      </c>
      <c r="E136" s="3">
        <f t="shared" si="37"/>
        <v>4224.1061423194924</v>
      </c>
      <c r="F136" s="2">
        <f t="shared" si="21"/>
        <v>1.8131280488399206</v>
      </c>
    </row>
    <row r="137" spans="2:6">
      <c r="B137" s="20">
        <f t="shared" si="30"/>
        <v>2.499999999999996E-2</v>
      </c>
      <c r="C137" s="8">
        <f t="shared" si="31"/>
        <v>2.5499999999999958</v>
      </c>
      <c r="D137" s="2">
        <f t="shared" si="36"/>
        <v>246.03338547310386</v>
      </c>
      <c r="E137" s="3">
        <f t="shared" si="37"/>
        <v>4266.9406020343413</v>
      </c>
      <c r="F137" s="2">
        <f t="shared" si="21"/>
        <v>1.8315140357799296</v>
      </c>
    </row>
    <row r="138" spans="2:6">
      <c r="B138" s="20">
        <f t="shared" si="30"/>
        <v>2.5199999999999959E-2</v>
      </c>
      <c r="C138" s="8">
        <f t="shared" si="31"/>
        <v>2.5703999999999958</v>
      </c>
      <c r="D138" s="2">
        <f t="shared" si="36"/>
        <v>248.51267113262736</v>
      </c>
      <c r="E138" s="3">
        <f t="shared" si="37"/>
        <v>4309.938687941747</v>
      </c>
      <c r="F138" s="2">
        <f t="shared" si="21"/>
        <v>1.849970256570427</v>
      </c>
    </row>
    <row r="139" spans="2:6">
      <c r="B139" s="20">
        <f t="shared" si="30"/>
        <v>2.5399999999999957E-2</v>
      </c>
      <c r="C139" s="8">
        <f t="shared" si="31"/>
        <v>2.5907999999999953</v>
      </c>
      <c r="D139" s="2">
        <f t="shared" si="36"/>
        <v>251.0014275798161</v>
      </c>
      <c r="E139" s="3">
        <f t="shared" si="37"/>
        <v>4353.1010250882446</v>
      </c>
      <c r="F139" s="2">
        <f t="shared" si="21"/>
        <v>1.8684969795023532</v>
      </c>
    </row>
    <row r="140" spans="2:6">
      <c r="B140" s="20">
        <f t="shared" si="30"/>
        <v>2.5599999999999956E-2</v>
      </c>
      <c r="C140" s="8">
        <f t="shared" si="31"/>
        <v>2.6111999999999953</v>
      </c>
      <c r="D140" s="2">
        <f t="shared" si="36"/>
        <v>253.49969099275984</v>
      </c>
      <c r="E140" s="3">
        <f t="shared" si="37"/>
        <v>4396.4282409080342</v>
      </c>
      <c r="F140" s="2">
        <f t="shared" si="21"/>
        <v>1.8870944738915125</v>
      </c>
    </row>
    <row r="141" spans="2:6">
      <c r="B141" s="20">
        <f t="shared" si="30"/>
        <v>2.5799999999999955E-2</v>
      </c>
      <c r="C141" s="8">
        <f t="shared" si="31"/>
        <v>2.6315999999999953</v>
      </c>
      <c r="D141" s="2">
        <f t="shared" si="36"/>
        <v>256.00749768774733</v>
      </c>
      <c r="E141" s="3">
        <f t="shared" si="37"/>
        <v>4439.9209652320887</v>
      </c>
      <c r="F141" s="2">
        <f t="shared" si="21"/>
        <v>1.9057630100824863</v>
      </c>
    </row>
    <row r="142" spans="2:6">
      <c r="B142" s="20">
        <f t="shared" si="30"/>
        <v>2.5999999999999954E-2</v>
      </c>
      <c r="C142" s="8">
        <f t="shared" si="31"/>
        <v>2.6519999999999948</v>
      </c>
      <c r="D142" s="2">
        <f t="shared" si="36"/>
        <v>258.52488411979459</v>
      </c>
      <c r="E142" s="3">
        <f t="shared" si="37"/>
        <v>4483.5798302973226</v>
      </c>
      <c r="F142" s="2">
        <f t="shared" ref="F142:F205" si="38">$A$10*$D142/$A$7</f>
        <v>1.9245028594525653</v>
      </c>
    </row>
    <row r="143" spans="2:6">
      <c r="B143" s="20">
        <f t="shared" si="30"/>
        <v>2.6199999999999952E-2</v>
      </c>
      <c r="C143" s="8">
        <f t="shared" si="31"/>
        <v>2.6723999999999948</v>
      </c>
      <c r="D143" s="2">
        <f t="shared" si="36"/>
        <v>261.05188688317412</v>
      </c>
      <c r="E143" s="3">
        <f t="shared" si="37"/>
        <v>4527.4054707557625</v>
      </c>
      <c r="F143" s="2">
        <f t="shared" si="38"/>
        <v>1.9433142944156883</v>
      </c>
    </row>
    <row r="144" spans="2:6">
      <c r="B144" s="20">
        <f t="shared" si="30"/>
        <v>2.6399999999999951E-2</v>
      </c>
      <c r="C144" s="8">
        <f t="shared" si="31"/>
        <v>2.6927999999999943</v>
      </c>
      <c r="D144" s="2">
        <f t="shared" si="36"/>
        <v>263.58854271194741</v>
      </c>
      <c r="E144" s="3">
        <f t="shared" si="37"/>
        <v>4571.3985236837889</v>
      </c>
      <c r="F144" s="2">
        <f t="shared" si="38"/>
        <v>1.9621975884264076</v>
      </c>
    </row>
    <row r="145" spans="2:6">
      <c r="B145" s="20">
        <f t="shared" si="30"/>
        <v>2.659999999999995E-2</v>
      </c>
      <c r="C145" s="8">
        <f t="shared" si="31"/>
        <v>2.7131999999999947</v>
      </c>
      <c r="D145" s="2">
        <f t="shared" si="36"/>
        <v>266.1348884804994</v>
      </c>
      <c r="E145" s="3">
        <f t="shared" si="37"/>
        <v>4615.5596285914016</v>
      </c>
      <c r="F145" s="2">
        <f t="shared" si="38"/>
        <v>1.9811530159838664</v>
      </c>
    </row>
    <row r="146" spans="2:6">
      <c r="B146" s="20">
        <f t="shared" si="30"/>
        <v>2.6799999999999949E-2</v>
      </c>
      <c r="C146" s="8">
        <f t="shared" si="31"/>
        <v>2.7335999999999947</v>
      </c>
      <c r="D146" s="2">
        <f t="shared" si="36"/>
        <v>268.69096120407323</v>
      </c>
      <c r="E146" s="3">
        <f t="shared" si="37"/>
        <v>4659.8894274314944</v>
      </c>
      <c r="F146" s="2">
        <f t="shared" si="38"/>
        <v>2.0001808526357809</v>
      </c>
    </row>
    <row r="147" spans="2:6">
      <c r="B147" s="20">
        <f t="shared" si="30"/>
        <v>2.6999999999999948E-2</v>
      </c>
      <c r="C147" s="8">
        <f t="shared" si="31"/>
        <v>2.7539999999999942</v>
      </c>
      <c r="D147" s="2">
        <f t="shared" si="36"/>
        <v>271.25679803930905</v>
      </c>
      <c r="E147" s="3">
        <f t="shared" si="37"/>
        <v>4704.3885646092003</v>
      </c>
      <c r="F147" s="2">
        <f t="shared" si="38"/>
        <v>2.0192813749824494</v>
      </c>
    </row>
    <row r="148" spans="2:6">
      <c r="B148" s="20">
        <f t="shared" si="30"/>
        <v>2.7199999999999946E-2</v>
      </c>
      <c r="C148" s="8">
        <f t="shared" si="31"/>
        <v>2.7743999999999942</v>
      </c>
      <c r="D148" s="2">
        <f t="shared" si="36"/>
        <v>273.83243628478465</v>
      </c>
      <c r="E148" s="3">
        <f t="shared" si="37"/>
        <v>4749.0576869912675</v>
      </c>
      <c r="F148" s="2">
        <f t="shared" si="38"/>
        <v>2.0384548606807789</v>
      </c>
    </row>
    <row r="149" spans="2:6">
      <c r="B149" s="20">
        <f t="shared" si="30"/>
        <v>2.7399999999999945E-2</v>
      </c>
      <c r="C149" s="8">
        <f t="shared" si="31"/>
        <v>2.7947999999999937</v>
      </c>
      <c r="D149" s="2">
        <f t="shared" si="36"/>
        <v>276.41791338155667</v>
      </c>
      <c r="E149" s="3">
        <f t="shared" si="37"/>
        <v>4793.8974439154445</v>
      </c>
      <c r="F149" s="2">
        <f t="shared" si="38"/>
        <v>2.0577015884483125</v>
      </c>
    </row>
    <row r="150" spans="2:6">
      <c r="B150" s="20">
        <f t="shared" si="30"/>
        <v>2.7599999999999944E-2</v>
      </c>
      <c r="C150" s="8">
        <f t="shared" si="31"/>
        <v>2.8151999999999946</v>
      </c>
      <c r="D150" s="2">
        <f t="shared" si="36"/>
        <v>279.01326691370593</v>
      </c>
      <c r="E150" s="3">
        <f t="shared" si="37"/>
        <v>4838.9084871999403</v>
      </c>
      <c r="F150" s="2">
        <f t="shared" si="38"/>
        <v>2.07702183806729</v>
      </c>
    </row>
    <row r="151" spans="2:6">
      <c r="B151" s="20">
        <f t="shared" si="30"/>
        <v>2.7799999999999943E-2</v>
      </c>
      <c r="C151" s="8">
        <f t="shared" si="31"/>
        <v>2.8355999999999941</v>
      </c>
      <c r="D151" s="2">
        <f t="shared" si="36"/>
        <v>281.61853460888187</v>
      </c>
      <c r="E151" s="3">
        <f t="shared" si="37"/>
        <v>4884.091471152864</v>
      </c>
      <c r="F151" s="2">
        <f t="shared" si="38"/>
        <v>2.0964158903886987</v>
      </c>
    </row>
    <row r="152" spans="2:6">
      <c r="B152" s="20">
        <f t="shared" si="30"/>
        <v>2.7999999999999942E-2</v>
      </c>
      <c r="C152" s="8">
        <f t="shared" si="31"/>
        <v>2.8559999999999941</v>
      </c>
      <c r="D152" s="2">
        <f t="shared" si="36"/>
        <v>284.23375433885383</v>
      </c>
      <c r="E152" s="3">
        <f t="shared" si="37"/>
        <v>4929.4470525817851</v>
      </c>
      <c r="F152" s="2">
        <f t="shared" si="38"/>
        <v>2.115884027336381</v>
      </c>
    </row>
    <row r="153" spans="2:6">
      <c r="B153" s="20">
        <f t="shared" si="30"/>
        <v>2.819999999999994E-2</v>
      </c>
      <c r="C153" s="8">
        <f t="shared" si="31"/>
        <v>2.8763999999999936</v>
      </c>
      <c r="D153" s="2">
        <f t="shared" si="36"/>
        <v>286.858964120059</v>
      </c>
      <c r="E153" s="3">
        <f t="shared" si="37"/>
        <v>4974.9758908032409</v>
      </c>
      <c r="F153" s="2">
        <f t="shared" si="38"/>
        <v>2.1354265319111092</v>
      </c>
    </row>
    <row r="154" spans="2:6">
      <c r="B154" s="20">
        <f t="shared" si="30"/>
        <v>2.8399999999999939E-2</v>
      </c>
      <c r="C154" s="8">
        <f t="shared" si="31"/>
        <v>2.8967999999999936</v>
      </c>
      <c r="D154" s="2">
        <f t="shared" si="36"/>
        <v>289.49420211415679</v>
      </c>
      <c r="E154" s="3">
        <f t="shared" si="37"/>
        <v>5020.6786476523466</v>
      </c>
      <c r="F154" s="2">
        <f t="shared" si="38"/>
        <v>2.1550436881947155</v>
      </c>
    </row>
    <row r="155" spans="2:6">
      <c r="B155" s="20">
        <f t="shared" si="30"/>
        <v>2.8599999999999938E-2</v>
      </c>
      <c r="C155" s="8">
        <f t="shared" si="31"/>
        <v>2.9171999999999936</v>
      </c>
      <c r="D155" s="2">
        <f t="shared" si="36"/>
        <v>292.13950662858201</v>
      </c>
      <c r="E155" s="3">
        <f t="shared" si="37"/>
        <v>5066.5559874923883</v>
      </c>
      <c r="F155" s="2">
        <f t="shared" si="38"/>
        <v>2.1747357813542085</v>
      </c>
    </row>
    <row r="156" spans="2:6">
      <c r="B156" s="20">
        <f t="shared" si="30"/>
        <v>2.8799999999999937E-2</v>
      </c>
      <c r="C156" s="8">
        <f t="shared" si="31"/>
        <v>2.9375999999999935</v>
      </c>
      <c r="D156" s="2">
        <f t="shared" ref="D156:D219" si="39">$A$6 * POWER(2.718,(C156+$A$8)/5.35) - $A$7</f>
        <v>294.79491611710353</v>
      </c>
      <c r="E156" s="3">
        <f t="shared" ref="E156:E219" si="40">D156*$A$5</f>
        <v>5112.6085772245178</v>
      </c>
      <c r="F156" s="2">
        <f t="shared" si="38"/>
        <v>2.1945030976459319</v>
      </c>
    </row>
    <row r="157" spans="2:6">
      <c r="B157" s="20">
        <f t="shared" si="30"/>
        <v>2.8999999999999936E-2</v>
      </c>
      <c r="C157" s="8">
        <f t="shared" si="31"/>
        <v>2.9579999999999931</v>
      </c>
      <c r="D157" s="2">
        <f t="shared" si="39"/>
        <v>297.46046918038132</v>
      </c>
      <c r="E157" s="3">
        <f t="shared" si="40"/>
        <v>5158.837086297407</v>
      </c>
      <c r="F157" s="2">
        <f t="shared" si="38"/>
        <v>2.2143459244197121</v>
      </c>
    </row>
    <row r="158" spans="2:6">
      <c r="B158" s="20">
        <f t="shared" si="30"/>
        <v>2.9199999999999934E-2</v>
      </c>
      <c r="C158" s="8">
        <f t="shared" si="31"/>
        <v>2.9783999999999931</v>
      </c>
      <c r="D158" s="2">
        <f t="shared" si="39"/>
        <v>300.13620456652939</v>
      </c>
      <c r="E158" s="3">
        <f t="shared" si="40"/>
        <v>5205.2421867170142</v>
      </c>
      <c r="F158" s="2">
        <f t="shared" si="38"/>
        <v>2.2342645501230476</v>
      </c>
    </row>
    <row r="159" spans="2:6">
      <c r="B159" s="20">
        <f t="shared" si="30"/>
        <v>2.9399999999999933E-2</v>
      </c>
      <c r="C159" s="8">
        <f t="shared" si="31"/>
        <v>2.9987999999999926</v>
      </c>
      <c r="D159" s="2">
        <f t="shared" si="39"/>
        <v>302.8221611716782</v>
      </c>
      <c r="E159" s="3">
        <f t="shared" si="40"/>
        <v>5251.8245530563363</v>
      </c>
      <c r="F159" s="2">
        <f t="shared" si="38"/>
        <v>2.254259264305297</v>
      </c>
    </row>
    <row r="160" spans="2:6">
      <c r="B160" s="20">
        <f t="shared" si="30"/>
        <v>2.9599999999999932E-2</v>
      </c>
      <c r="C160" s="8">
        <f t="shared" si="31"/>
        <v>3.019199999999993</v>
      </c>
      <c r="D160" s="2">
        <f t="shared" si="39"/>
        <v>305.51837804053957</v>
      </c>
      <c r="E160" s="3">
        <f t="shared" si="40"/>
        <v>5298.5848624652081</v>
      </c>
      <c r="F160" s="2">
        <f t="shared" si="38"/>
        <v>2.2743303576218827</v>
      </c>
    </row>
    <row r="161" spans="2:6">
      <c r="B161" s="20">
        <f t="shared" si="30"/>
        <v>2.9799999999999931E-2</v>
      </c>
      <c r="C161" s="8">
        <f t="shared" si="31"/>
        <v>3.039599999999993</v>
      </c>
      <c r="D161" s="2">
        <f t="shared" si="39"/>
        <v>308.22489436697526</v>
      </c>
      <c r="E161" s="3">
        <f t="shared" si="40"/>
        <v>5345.5237946801599</v>
      </c>
      <c r="F161" s="2">
        <f t="shared" si="38"/>
        <v>2.2944781218385257</v>
      </c>
    </row>
    <row r="162" spans="2:6">
      <c r="B162" s="20">
        <f t="shared" si="30"/>
        <v>2.999999999999993E-2</v>
      </c>
      <c r="C162" s="8">
        <f t="shared" si="31"/>
        <v>3.0599999999999925</v>
      </c>
      <c r="D162" s="2">
        <f t="shared" si="39"/>
        <v>310.9417494945659</v>
      </c>
      <c r="E162" s="3">
        <f t="shared" si="40"/>
        <v>5392.6420320342895</v>
      </c>
      <c r="F162" s="2">
        <f t="shared" si="38"/>
        <v>2.314702849835478</v>
      </c>
    </row>
    <row r="163" spans="2:6">
      <c r="B163" s="20">
        <f t="shared" si="30"/>
        <v>3.0199999999999928E-2</v>
      </c>
      <c r="C163" s="8">
        <f t="shared" si="31"/>
        <v>3.0803999999999925</v>
      </c>
      <c r="D163" s="2">
        <f t="shared" si="39"/>
        <v>313.66898291718348</v>
      </c>
      <c r="E163" s="3">
        <f t="shared" si="40"/>
        <v>5439.9402594671847</v>
      </c>
      <c r="F163" s="2">
        <f t="shared" si="38"/>
        <v>2.3350048356117878</v>
      </c>
    </row>
    <row r="164" spans="2:6">
      <c r="B164" s="20">
        <f t="shared" si="30"/>
        <v>3.0399999999999927E-2</v>
      </c>
      <c r="C164" s="8">
        <f t="shared" si="31"/>
        <v>3.100799999999992</v>
      </c>
      <c r="D164" s="2">
        <f t="shared" si="39"/>
        <v>316.40663427956531</v>
      </c>
      <c r="E164" s="3">
        <f t="shared" si="40"/>
        <v>5487.4191645348819</v>
      </c>
      <c r="F164" s="2">
        <f t="shared" si="38"/>
        <v>2.3553843742895682</v>
      </c>
    </row>
    <row r="165" spans="2:6">
      <c r="B165" s="20">
        <f t="shared" si="30"/>
        <v>3.0599999999999926E-2</v>
      </c>
      <c r="C165" s="8">
        <f t="shared" si="31"/>
        <v>3.1211999999999924</v>
      </c>
      <c r="D165" s="2">
        <f t="shared" si="39"/>
        <v>319.15474337789044</v>
      </c>
      <c r="E165" s="3">
        <f t="shared" si="40"/>
        <v>5535.0794374198613</v>
      </c>
      <c r="F165" s="2">
        <f t="shared" si="38"/>
        <v>2.375841762118291</v>
      </c>
    </row>
    <row r="166" spans="2:6">
      <c r="B166" s="20">
        <f t="shared" si="30"/>
        <v>3.0799999999999925E-2</v>
      </c>
      <c r="C166" s="8">
        <f t="shared" si="31"/>
        <v>3.1415999999999924</v>
      </c>
      <c r="D166" s="2">
        <f t="shared" si="39"/>
        <v>321.91335016035748</v>
      </c>
      <c r="E166" s="3">
        <f t="shared" si="40"/>
        <v>5582.9217709410686</v>
      </c>
      <c r="F166" s="2">
        <f t="shared" si="38"/>
        <v>2.3963772964790881</v>
      </c>
    </row>
    <row r="167" spans="2:6">
      <c r="B167" s="20">
        <f t="shared" ref="B167:B230" si="41">B166+0.0002</f>
        <v>3.0999999999999923E-2</v>
      </c>
      <c r="C167" s="8">
        <f t="shared" si="31"/>
        <v>3.1619999999999919</v>
      </c>
      <c r="D167" s="2">
        <f t="shared" si="39"/>
        <v>324.68249472776608</v>
      </c>
      <c r="E167" s="3">
        <f t="shared" si="40"/>
        <v>5630.9468605639977</v>
      </c>
      <c r="F167" s="2">
        <f t="shared" si="38"/>
        <v>2.4169912758890777</v>
      </c>
    </row>
    <row r="168" spans="2:6">
      <c r="B168" s="20">
        <f t="shared" si="41"/>
        <v>3.1199999999999922E-2</v>
      </c>
      <c r="C168" s="8">
        <f t="shared" si="31"/>
        <v>3.1823999999999915</v>
      </c>
      <c r="D168" s="2">
        <f t="shared" si="39"/>
        <v>327.46221733409948</v>
      </c>
      <c r="E168" s="3">
        <f t="shared" si="40"/>
        <v>5679.1554044107979</v>
      </c>
      <c r="F168" s="2">
        <f t="shared" si="38"/>
        <v>2.4376840000057034</v>
      </c>
    </row>
    <row r="169" spans="2:6">
      <c r="B169" s="20">
        <f t="shared" si="41"/>
        <v>3.1399999999999921E-2</v>
      </c>
      <c r="C169" s="8">
        <f t="shared" si="31"/>
        <v>3.2027999999999919</v>
      </c>
      <c r="D169" s="2">
        <f t="shared" si="39"/>
        <v>330.25255838711041</v>
      </c>
      <c r="E169" s="3">
        <f t="shared" si="40"/>
        <v>5727.5481032704292</v>
      </c>
      <c r="F169" s="2">
        <f t="shared" si="38"/>
        <v>2.4584557696310947</v>
      </c>
    </row>
    <row r="170" spans="2:6">
      <c r="B170" s="20">
        <f t="shared" si="41"/>
        <v>3.159999999999992E-2</v>
      </c>
      <c r="C170" s="8">
        <f t="shared" si="31"/>
        <v>3.2231999999999918</v>
      </c>
      <c r="D170" s="2">
        <f t="shared" si="39"/>
        <v>333.05355844890653</v>
      </c>
      <c r="E170" s="3">
        <f t="shared" si="40"/>
        <v>5776.1256606088218</v>
      </c>
      <c r="F170" s="2">
        <f t="shared" si="38"/>
        <v>2.4793068867164259</v>
      </c>
    </row>
    <row r="171" spans="2:6">
      <c r="B171" s="20">
        <f t="shared" si="41"/>
        <v>3.1799999999999919E-2</v>
      </c>
      <c r="C171" s="8">
        <f t="shared" si="31"/>
        <v>3.2435999999999918</v>
      </c>
      <c r="D171" s="2">
        <f t="shared" si="39"/>
        <v>335.8652582365429</v>
      </c>
      <c r="E171" s="3">
        <f t="shared" si="40"/>
        <v>5824.8887825791471</v>
      </c>
      <c r="F171" s="2">
        <f t="shared" si="38"/>
        <v>2.5002376543663245</v>
      </c>
    </row>
    <row r="172" spans="2:6">
      <c r="B172" s="20">
        <f t="shared" si="41"/>
        <v>3.1999999999999917E-2</v>
      </c>
      <c r="C172" s="8">
        <f t="shared" si="31"/>
        <v>3.2639999999999914</v>
      </c>
      <c r="D172" s="2">
        <f t="shared" si="39"/>
        <v>338.68769862261115</v>
      </c>
      <c r="E172" s="3">
        <f t="shared" si="40"/>
        <v>5873.838178032036</v>
      </c>
      <c r="F172" s="2">
        <f t="shared" si="38"/>
        <v>2.5212483768432592</v>
      </c>
    </row>
    <row r="173" spans="2:6">
      <c r="B173" s="20">
        <f t="shared" si="41"/>
        <v>3.2199999999999916E-2</v>
      </c>
      <c r="C173" s="8">
        <f t="shared" ref="C173:C236" si="42">$B173*((100-$A$9)/100)*$A$4*100</f>
        <v>3.2843999999999909</v>
      </c>
      <c r="D173" s="2">
        <f t="shared" si="39"/>
        <v>341.52092063583552</v>
      </c>
      <c r="E173" s="3">
        <f t="shared" si="40"/>
        <v>5922.9745585259188</v>
      </c>
      <c r="F173" s="2">
        <f t="shared" si="38"/>
        <v>2.5423393595719768</v>
      </c>
    </row>
    <row r="174" spans="2:6">
      <c r="B174" s="20">
        <f t="shared" si="41"/>
        <v>3.2399999999999915E-2</v>
      </c>
      <c r="C174" s="8">
        <f t="shared" si="42"/>
        <v>3.3047999999999913</v>
      </c>
      <c r="D174" s="2">
        <f t="shared" si="39"/>
        <v>344.36496546166859</v>
      </c>
      <c r="E174" s="3">
        <f t="shared" si="40"/>
        <v>5972.2986383373536</v>
      </c>
      <c r="F174" s="2">
        <f t="shared" si="38"/>
        <v>2.5635109091439348</v>
      </c>
    </row>
    <row r="175" spans="2:6">
      <c r="B175" s="20">
        <f t="shared" si="41"/>
        <v>3.2599999999999914E-2</v>
      </c>
      <c r="C175" s="8">
        <f t="shared" si="42"/>
        <v>3.3251999999999913</v>
      </c>
      <c r="D175" s="2">
        <f t="shared" si="39"/>
        <v>347.21987444288936</v>
      </c>
      <c r="E175" s="3">
        <f t="shared" si="40"/>
        <v>6021.8111344713998</v>
      </c>
      <c r="F175" s="2">
        <f t="shared" si="38"/>
        <v>2.5847633333217575</v>
      </c>
    </row>
    <row r="176" spans="2:6">
      <c r="B176" s="20">
        <f t="shared" si="41"/>
        <v>3.2799999999999913E-2</v>
      </c>
      <c r="C176" s="8">
        <f t="shared" si="42"/>
        <v>3.3455999999999908</v>
      </c>
      <c r="D176" s="2">
        <f t="shared" si="39"/>
        <v>350.08568908020538</v>
      </c>
      <c r="E176" s="3">
        <f t="shared" si="40"/>
        <v>6071.5127666720628</v>
      </c>
      <c r="F176" s="2">
        <f t="shared" si="38"/>
        <v>2.6060969410437127</v>
      </c>
    </row>
    <row r="177" spans="2:6">
      <c r="B177" s="20">
        <f t="shared" si="41"/>
        <v>3.2999999999999911E-2</v>
      </c>
      <c r="C177" s="8">
        <f t="shared" si="42"/>
        <v>3.3659999999999903</v>
      </c>
      <c r="D177" s="2">
        <f t="shared" si="39"/>
        <v>352.96245103285582</v>
      </c>
      <c r="E177" s="3">
        <f t="shared" si="40"/>
        <v>6121.4042574327486</v>
      </c>
      <c r="F177" s="2">
        <f t="shared" si="38"/>
        <v>2.627512042428207</v>
      </c>
    </row>
    <row r="178" spans="2:6">
      <c r="B178" s="20">
        <f t="shared" si="41"/>
        <v>3.319999999999991E-2</v>
      </c>
      <c r="C178" s="8">
        <f t="shared" si="42"/>
        <v>3.3863999999999908</v>
      </c>
      <c r="D178" s="2">
        <f t="shared" si="39"/>
        <v>355.85020211921596</v>
      </c>
      <c r="E178" s="3">
        <f t="shared" si="40"/>
        <v>6171.4863320067534</v>
      </c>
      <c r="F178" s="2">
        <f t="shared" si="38"/>
        <v>2.6490089487782824</v>
      </c>
    </row>
    <row r="179" spans="2:6">
      <c r="B179" s="20">
        <f t="shared" si="41"/>
        <v>3.3399999999999909E-2</v>
      </c>
      <c r="C179" s="8">
        <f t="shared" si="42"/>
        <v>3.4067999999999903</v>
      </c>
      <c r="D179" s="2">
        <f t="shared" si="39"/>
        <v>358.74898431740598</v>
      </c>
      <c r="E179" s="3">
        <f t="shared" si="40"/>
        <v>6221.7597184178167</v>
      </c>
      <c r="F179" s="2">
        <f t="shared" si="38"/>
        <v>2.6705879725861488</v>
      </c>
    </row>
    <row r="180" spans="2:6">
      <c r="B180" s="20">
        <f t="shared" si="41"/>
        <v>3.3599999999999908E-2</v>
      </c>
      <c r="C180" s="8">
        <f t="shared" si="42"/>
        <v>3.4271999999999907</v>
      </c>
      <c r="D180" s="2">
        <f t="shared" si="39"/>
        <v>361.65883976590214</v>
      </c>
      <c r="E180" s="3">
        <f t="shared" si="40"/>
        <v>6272.2251474707227</v>
      </c>
      <c r="F180" s="2">
        <f t="shared" si="38"/>
        <v>2.6922494275377336</v>
      </c>
    </row>
    <row r="181" spans="2:6">
      <c r="B181" s="20">
        <f t="shared" si="41"/>
        <v>3.3799999999999907E-2</v>
      </c>
      <c r="C181" s="8">
        <f t="shared" si="42"/>
        <v>3.4475999999999902</v>
      </c>
      <c r="D181" s="2">
        <f t="shared" si="39"/>
        <v>364.5798107641466</v>
      </c>
      <c r="E181" s="3">
        <f t="shared" si="40"/>
        <v>6322.8833527618763</v>
      </c>
      <c r="F181" s="2">
        <f t="shared" si="38"/>
        <v>2.7139936285172199</v>
      </c>
    </row>
    <row r="182" spans="2:6">
      <c r="B182" s="20">
        <f t="shared" si="41"/>
        <v>3.3999999999999905E-2</v>
      </c>
      <c r="C182" s="8">
        <f t="shared" si="42"/>
        <v>3.4679999999999898</v>
      </c>
      <c r="D182" s="2">
        <f t="shared" si="39"/>
        <v>367.5119397731653</v>
      </c>
      <c r="E182" s="3">
        <f t="shared" si="40"/>
        <v>6373.7350706900197</v>
      </c>
      <c r="F182" s="2">
        <f t="shared" si="38"/>
        <v>2.7358208916116524</v>
      </c>
    </row>
    <row r="183" spans="2:6">
      <c r="B183" s="20">
        <f t="shared" si="41"/>
        <v>3.4199999999999904E-2</v>
      </c>
      <c r="C183" s="8">
        <f t="shared" si="42"/>
        <v>3.4883999999999902</v>
      </c>
      <c r="D183" s="2">
        <f t="shared" si="39"/>
        <v>370.45526941618311</v>
      </c>
      <c r="E183" s="3">
        <f t="shared" si="40"/>
        <v>6424.7810404669017</v>
      </c>
      <c r="F183" s="2">
        <f t="shared" si="38"/>
        <v>2.7577315341155075</v>
      </c>
    </row>
    <row r="184" spans="2:6">
      <c r="B184" s="20">
        <f t="shared" si="41"/>
        <v>3.4399999999999903E-2</v>
      </c>
      <c r="C184" s="8">
        <f t="shared" si="42"/>
        <v>3.5087999999999897</v>
      </c>
      <c r="D184" s="2">
        <f t="shared" si="39"/>
        <v>373.4098424792445</v>
      </c>
      <c r="E184" s="3">
        <f t="shared" si="40"/>
        <v>6476.0220041280381</v>
      </c>
      <c r="F184" s="2">
        <f t="shared" si="38"/>
        <v>2.7797258745353184</v>
      </c>
    </row>
    <row r="185" spans="2:6">
      <c r="B185" s="20">
        <f t="shared" si="41"/>
        <v>3.4599999999999902E-2</v>
      </c>
      <c r="C185" s="8">
        <f t="shared" si="42"/>
        <v>3.5291999999999901</v>
      </c>
      <c r="D185" s="2">
        <f t="shared" si="39"/>
        <v>376.37570191183522</v>
      </c>
      <c r="E185" s="3">
        <f t="shared" si="40"/>
        <v>6527.4587065434962</v>
      </c>
      <c r="F185" s="2">
        <f t="shared" si="38"/>
        <v>2.8018042325943067</v>
      </c>
    </row>
    <row r="186" spans="2:6">
      <c r="B186" s="20">
        <f t="shared" si="41"/>
        <v>3.47999999999999E-2</v>
      </c>
      <c r="C186" s="8">
        <f t="shared" si="42"/>
        <v>3.5495999999999897</v>
      </c>
      <c r="D186" s="2">
        <f t="shared" si="39"/>
        <v>379.35289082750626</v>
      </c>
      <c r="E186" s="3">
        <f t="shared" si="40"/>
        <v>6579.0918954287181</v>
      </c>
      <c r="F186" s="2">
        <f t="shared" si="38"/>
        <v>2.8239669292370198</v>
      </c>
    </row>
    <row r="187" spans="2:6">
      <c r="B187" s="20">
        <f t="shared" si="41"/>
        <v>3.4999999999999899E-2</v>
      </c>
      <c r="C187" s="8">
        <f t="shared" si="42"/>
        <v>3.5699999999999896</v>
      </c>
      <c r="D187" s="2">
        <f t="shared" si="39"/>
        <v>382.34145250450149</v>
      </c>
      <c r="E187" s="3">
        <f t="shared" si="40"/>
        <v>6630.9223213554014</v>
      </c>
      <c r="F187" s="2">
        <f t="shared" si="38"/>
        <v>2.8462142866340066</v>
      </c>
    </row>
    <row r="188" spans="2:6">
      <c r="B188" s="20">
        <f t="shared" si="41"/>
        <v>3.5199999999999898E-2</v>
      </c>
      <c r="C188" s="8">
        <f t="shared" si="42"/>
        <v>3.5903999999999896</v>
      </c>
      <c r="D188" s="2">
        <f t="shared" si="39"/>
        <v>385.3414303863857</v>
      </c>
      <c r="E188" s="3">
        <f t="shared" si="40"/>
        <v>6682.9507377623941</v>
      </c>
      <c r="F188" s="2">
        <f t="shared" si="38"/>
        <v>2.8685466281864942</v>
      </c>
    </row>
    <row r="189" spans="2:6">
      <c r="B189" s="20">
        <f t="shared" si="41"/>
        <v>3.5399999999999897E-2</v>
      </c>
      <c r="C189" s="8">
        <f t="shared" si="42"/>
        <v>3.6107999999999891</v>
      </c>
      <c r="D189" s="2">
        <f t="shared" si="39"/>
        <v>388.35286808267654</v>
      </c>
      <c r="E189" s="3">
        <f t="shared" si="40"/>
        <v>6735.1779009666525</v>
      </c>
      <c r="F189" s="2">
        <f t="shared" si="38"/>
        <v>2.8909642785310905</v>
      </c>
    </row>
    <row r="190" spans="2:6">
      <c r="B190" s="20">
        <f t="shared" si="41"/>
        <v>3.5599999999999896E-2</v>
      </c>
      <c r="C190" s="8">
        <f t="shared" si="42"/>
        <v>3.6311999999999891</v>
      </c>
      <c r="D190" s="2">
        <f t="shared" si="39"/>
        <v>391.3758093694795</v>
      </c>
      <c r="E190" s="3">
        <f t="shared" si="40"/>
        <v>6787.6045701742578</v>
      </c>
      <c r="F190" s="2">
        <f t="shared" si="38"/>
        <v>2.9134675635445122</v>
      </c>
    </row>
    <row r="191" spans="2:6">
      <c r="B191" s="20">
        <f t="shared" si="41"/>
        <v>3.5799999999999894E-2</v>
      </c>
      <c r="C191" s="8">
        <f t="shared" si="42"/>
        <v>3.6515999999999891</v>
      </c>
      <c r="D191" s="2">
        <f t="shared" si="39"/>
        <v>394.41029819012215</v>
      </c>
      <c r="E191" s="3">
        <f t="shared" si="40"/>
        <v>6840.2315074914086</v>
      </c>
      <c r="F191" s="2">
        <f t="shared" si="38"/>
        <v>2.9360568103483038</v>
      </c>
    </row>
    <row r="192" spans="2:6">
      <c r="B192" s="20">
        <f t="shared" si="41"/>
        <v>3.5999999999999893E-2</v>
      </c>
      <c r="C192" s="8">
        <f t="shared" si="42"/>
        <v>3.6719999999999891</v>
      </c>
      <c r="D192" s="2">
        <f t="shared" si="39"/>
        <v>397.45637865579499</v>
      </c>
      <c r="E192" s="3">
        <f t="shared" si="40"/>
        <v>6893.0594779355415</v>
      </c>
      <c r="F192" s="2">
        <f t="shared" si="38"/>
        <v>2.9587323473136102</v>
      </c>
    </row>
    <row r="193" spans="2:6">
      <c r="B193" s="20">
        <f t="shared" si="41"/>
        <v>3.6199999999999892E-2</v>
      </c>
      <c r="C193" s="8">
        <f t="shared" si="42"/>
        <v>3.6923999999999886</v>
      </c>
      <c r="D193" s="2">
        <f t="shared" si="39"/>
        <v>400.51409504619107</v>
      </c>
      <c r="E193" s="3">
        <f t="shared" si="40"/>
        <v>6946.0892494464215</v>
      </c>
      <c r="F193" s="2">
        <f t="shared" si="38"/>
        <v>2.9814945040659389</v>
      </c>
    </row>
    <row r="194" spans="2:6">
      <c r="B194" s="20">
        <f t="shared" si="41"/>
        <v>3.6399999999999891E-2</v>
      </c>
      <c r="C194" s="8">
        <f t="shared" si="42"/>
        <v>3.7127999999999881</v>
      </c>
      <c r="D194" s="2">
        <f t="shared" si="39"/>
        <v>403.5834918101508</v>
      </c>
      <c r="E194" s="3">
        <f t="shared" si="40"/>
        <v>6999.3215928973241</v>
      </c>
      <c r="F194" s="2">
        <f t="shared" si="38"/>
        <v>3.004343611489956</v>
      </c>
    </row>
    <row r="195" spans="2:6">
      <c r="B195" s="20">
        <f t="shared" si="41"/>
        <v>3.659999999999989E-2</v>
      </c>
      <c r="C195" s="8">
        <f t="shared" si="42"/>
        <v>3.7331999999999885</v>
      </c>
      <c r="D195" s="2">
        <f t="shared" si="39"/>
        <v>406.66461356630759</v>
      </c>
      <c r="E195" s="3">
        <f t="shared" si="40"/>
        <v>7052.757282106234</v>
      </c>
      <c r="F195" s="2">
        <f t="shared" si="38"/>
        <v>3.0272800017342996</v>
      </c>
    </row>
    <row r="196" spans="2:6">
      <c r="B196" s="20">
        <f t="shared" si="41"/>
        <v>3.6799999999999888E-2</v>
      </c>
      <c r="C196" s="8">
        <f t="shared" si="42"/>
        <v>3.7535999999999881</v>
      </c>
      <c r="D196" s="2">
        <f t="shared" si="39"/>
        <v>409.75750510373643</v>
      </c>
      <c r="E196" s="3">
        <f t="shared" si="40"/>
        <v>7106.3970938470929</v>
      </c>
      <c r="F196" s="2">
        <f t="shared" si="38"/>
        <v>3.0503040082164001</v>
      </c>
    </row>
    <row r="197" spans="2:6">
      <c r="B197" s="20">
        <f t="shared" si="41"/>
        <v>3.6999999999999887E-2</v>
      </c>
      <c r="C197" s="8">
        <f t="shared" si="42"/>
        <v>3.7739999999999885</v>
      </c>
      <c r="D197" s="2">
        <f t="shared" si="39"/>
        <v>412.8622113826051</v>
      </c>
      <c r="E197" s="3">
        <f t="shared" si="40"/>
        <v>7160.2418078610935</v>
      </c>
      <c r="F197" s="2">
        <f t="shared" si="38"/>
        <v>3.0734159656273334</v>
      </c>
    </row>
    <row r="198" spans="2:6">
      <c r="B198" s="20">
        <f t="shared" si="41"/>
        <v>3.7199999999999886E-2</v>
      </c>
      <c r="C198" s="8">
        <f t="shared" si="42"/>
        <v>3.794399999999988</v>
      </c>
      <c r="D198" s="2">
        <f t="shared" si="39"/>
        <v>415.97877753482771</v>
      </c>
      <c r="E198" s="3">
        <f t="shared" si="40"/>
        <v>7214.2922068680136</v>
      </c>
      <c r="F198" s="2">
        <f t="shared" si="38"/>
        <v>3.0966162099366827</v>
      </c>
    </row>
    <row r="199" spans="2:6">
      <c r="B199" s="20">
        <f t="shared" si="41"/>
        <v>3.7399999999999885E-2</v>
      </c>
      <c r="C199" s="8">
        <f t="shared" si="42"/>
        <v>3.8147999999999875</v>
      </c>
      <c r="D199" s="2">
        <f t="shared" si="39"/>
        <v>419.10724886472076</v>
      </c>
      <c r="E199" s="3">
        <f t="shared" si="40"/>
        <v>7268.549076577594</v>
      </c>
      <c r="F199" s="2">
        <f t="shared" si="38"/>
        <v>3.1199050783974251</v>
      </c>
    </row>
    <row r="200" spans="2:6">
      <c r="B200" s="20">
        <f t="shared" si="41"/>
        <v>3.7599999999999884E-2</v>
      </c>
      <c r="C200" s="8">
        <f t="shared" si="42"/>
        <v>3.835199999999988</v>
      </c>
      <c r="D200" s="2">
        <f t="shared" si="39"/>
        <v>422.24767084966209</v>
      </c>
      <c r="E200" s="3">
        <f t="shared" si="40"/>
        <v>7323.013205700965</v>
      </c>
      <c r="F200" s="2">
        <f t="shared" si="38"/>
        <v>3.1432829095508348</v>
      </c>
    </row>
    <row r="201" spans="2:6">
      <c r="B201" s="20">
        <f t="shared" si="41"/>
        <v>3.7799999999999882E-2</v>
      </c>
      <c r="C201" s="8">
        <f t="shared" si="42"/>
        <v>3.8555999999999884</v>
      </c>
      <c r="D201" s="2">
        <f t="shared" si="39"/>
        <v>425.40008914075099</v>
      </c>
      <c r="E201" s="3">
        <f t="shared" si="40"/>
        <v>7377.6853859621006</v>
      </c>
      <c r="F201" s="2">
        <f t="shared" si="38"/>
        <v>3.1667500432313971</v>
      </c>
    </row>
    <row r="202" spans="2:6">
      <c r="B202" s="20">
        <f t="shared" si="41"/>
        <v>3.7999999999999881E-2</v>
      </c>
      <c r="C202" s="8">
        <f t="shared" si="42"/>
        <v>3.8759999999999879</v>
      </c>
      <c r="D202" s="2">
        <f t="shared" si="39"/>
        <v>428.56454956347216</v>
      </c>
      <c r="E202" s="3">
        <f t="shared" si="40"/>
        <v>7432.5664121093259</v>
      </c>
      <c r="F202" s="2">
        <f t="shared" si="38"/>
        <v>3.1903068205717529</v>
      </c>
    </row>
    <row r="203" spans="2:6">
      <c r="B203" s="20">
        <f t="shared" si="41"/>
        <v>3.819999999999988E-2</v>
      </c>
      <c r="C203" s="8">
        <f t="shared" si="42"/>
        <v>3.8963999999999874</v>
      </c>
      <c r="D203" s="2">
        <f t="shared" si="39"/>
        <v>431.74109811836342</v>
      </c>
      <c r="E203" s="3">
        <f t="shared" si="40"/>
        <v>7487.6570819269009</v>
      </c>
      <c r="F203" s="2">
        <f t="shared" si="38"/>
        <v>3.2139535840076681</v>
      </c>
    </row>
    <row r="204" spans="2:6">
      <c r="B204" s="20">
        <f t="shared" si="41"/>
        <v>3.8399999999999879E-2</v>
      </c>
      <c r="C204" s="8">
        <f t="shared" si="42"/>
        <v>3.916799999999987</v>
      </c>
      <c r="D204" s="2">
        <f t="shared" si="39"/>
        <v>434.92978098168203</v>
      </c>
      <c r="E204" s="3">
        <f t="shared" si="40"/>
        <v>7542.9581962465782</v>
      </c>
      <c r="F204" s="2">
        <f t="shared" si="38"/>
        <v>3.2376906772829925</v>
      </c>
    </row>
    <row r="205" spans="2:6">
      <c r="B205" s="20">
        <f t="shared" si="41"/>
        <v>3.8599999999999877E-2</v>
      </c>
      <c r="C205" s="8">
        <f t="shared" si="42"/>
        <v>3.9371999999999874</v>
      </c>
      <c r="D205" s="2">
        <f t="shared" si="39"/>
        <v>438.13064450607703</v>
      </c>
      <c r="E205" s="3">
        <f t="shared" si="40"/>
        <v>7598.4705589592595</v>
      </c>
      <c r="F205" s="2">
        <f t="shared" si="38"/>
        <v>3.261518445454668</v>
      </c>
    </row>
    <row r="206" spans="2:6">
      <c r="B206" s="20">
        <f t="shared" si="41"/>
        <v>3.8799999999999876E-2</v>
      </c>
      <c r="C206" s="8">
        <f t="shared" si="42"/>
        <v>3.9575999999999874</v>
      </c>
      <c r="D206" s="2">
        <f t="shared" si="39"/>
        <v>441.3437352212635</v>
      </c>
      <c r="E206" s="3">
        <f t="shared" si="40"/>
        <v>7654.1949770266901</v>
      </c>
      <c r="F206" s="2">
        <f t="shared" ref="F206:F249" si="43">$A$10*$D206/$A$7</f>
        <v>3.285437234897743</v>
      </c>
    </row>
    <row r="207" spans="2:6">
      <c r="B207" s="20">
        <f t="shared" si="41"/>
        <v>3.8999999999999875E-2</v>
      </c>
      <c r="C207" s="8">
        <f t="shared" si="42"/>
        <v>3.9779999999999873</v>
      </c>
      <c r="D207" s="2">
        <f t="shared" si="39"/>
        <v>444.56909983469802</v>
      </c>
      <c r="E207" s="3">
        <f t="shared" si="40"/>
        <v>7710.1322604931775</v>
      </c>
      <c r="F207" s="2">
        <f t="shared" si="43"/>
        <v>3.3094473933104069</v>
      </c>
    </row>
    <row r="208" spans="2:6">
      <c r="B208" s="20">
        <f t="shared" si="41"/>
        <v>3.9199999999999874E-2</v>
      </c>
      <c r="C208" s="8">
        <f t="shared" si="42"/>
        <v>3.9983999999999869</v>
      </c>
      <c r="D208" s="2">
        <f t="shared" si="39"/>
        <v>447.80678523225799</v>
      </c>
      <c r="E208" s="3">
        <f t="shared" si="40"/>
        <v>7766.2832224973672</v>
      </c>
      <c r="F208" s="2">
        <f t="shared" si="43"/>
        <v>3.3335492697190423</v>
      </c>
    </row>
    <row r="209" spans="2:6">
      <c r="B209" s="20">
        <f t="shared" si="41"/>
        <v>3.9399999999999873E-2</v>
      </c>
      <c r="C209" s="8">
        <f t="shared" si="42"/>
        <v>4.0187999999999864</v>
      </c>
      <c r="D209" s="2">
        <f t="shared" si="39"/>
        <v>451.05683847892419</v>
      </c>
      <c r="E209" s="3">
        <f t="shared" si="40"/>
        <v>7822.6486792840824</v>
      </c>
      <c r="F209" s="2">
        <f t="shared" si="43"/>
        <v>3.3577432144833068</v>
      </c>
    </row>
    <row r="210" spans="2:6">
      <c r="B210" s="20">
        <f t="shared" si="41"/>
        <v>3.9599999999999871E-2</v>
      </c>
      <c r="C210" s="8">
        <f t="shared" si="42"/>
        <v>4.0391999999999868</v>
      </c>
      <c r="D210" s="2">
        <f t="shared" si="39"/>
        <v>454.31930681946301</v>
      </c>
      <c r="E210" s="3">
        <f t="shared" si="40"/>
        <v>7879.2294502161576</v>
      </c>
      <c r="F210" s="2">
        <f t="shared" si="43"/>
        <v>3.3820295793012134</v>
      </c>
    </row>
    <row r="211" spans="2:6">
      <c r="B211" s="20">
        <f t="shared" si="41"/>
        <v>3.979999999999987E-2</v>
      </c>
      <c r="C211" s="8">
        <f t="shared" si="42"/>
        <v>4.0595999999999872</v>
      </c>
      <c r="D211" s="2">
        <f t="shared" si="39"/>
        <v>457.59423767911494</v>
      </c>
      <c r="E211" s="3">
        <f t="shared" si="40"/>
        <v>7936.026357786377</v>
      </c>
      <c r="F211" s="2">
        <f t="shared" si="43"/>
        <v>3.406408717214255</v>
      </c>
    </row>
    <row r="212" spans="2:6">
      <c r="B212" s="20">
        <f t="shared" si="41"/>
        <v>3.9999999999999869E-2</v>
      </c>
      <c r="C212" s="8">
        <f t="shared" si="42"/>
        <v>4.0799999999999867</v>
      </c>
      <c r="D212" s="2">
        <f t="shared" si="39"/>
        <v>460.88167866428228</v>
      </c>
      <c r="E212" s="3">
        <f t="shared" si="40"/>
        <v>7993.0402276294026</v>
      </c>
      <c r="F212" s="2">
        <f t="shared" si="43"/>
        <v>3.4308809826125231</v>
      </c>
    </row>
    <row r="213" spans="2:6">
      <c r="B213" s="20">
        <f t="shared" si="41"/>
        <v>4.0199999999999868E-2</v>
      </c>
      <c r="C213" s="8">
        <f t="shared" si="42"/>
        <v>4.1003999999999863</v>
      </c>
      <c r="D213" s="2">
        <f t="shared" si="39"/>
        <v>464.18167756322362</v>
      </c>
      <c r="E213" s="3">
        <f t="shared" si="40"/>
        <v>8050.2718885338154</v>
      </c>
      <c r="F213" s="2">
        <f t="shared" si="43"/>
        <v>3.4554467312398778</v>
      </c>
    </row>
    <row r="214" spans="2:6">
      <c r="B214" s="20">
        <f t="shared" si="41"/>
        <v>4.0399999999999867E-2</v>
      </c>
      <c r="C214" s="8">
        <f t="shared" si="42"/>
        <v>4.1207999999999858</v>
      </c>
      <c r="D214" s="2">
        <f t="shared" si="39"/>
        <v>467.49428234674588</v>
      </c>
      <c r="E214" s="3">
        <f t="shared" si="40"/>
        <v>8107.7221724541232</v>
      </c>
      <c r="F214" s="2">
        <f t="shared" si="43"/>
        <v>3.4801063201991007</v>
      </c>
    </row>
    <row r="215" spans="2:6">
      <c r="B215" s="20">
        <f t="shared" si="41"/>
        <v>4.0599999999999865E-2</v>
      </c>
      <c r="C215" s="8">
        <f t="shared" si="42"/>
        <v>4.1411999999999862</v>
      </c>
      <c r="D215" s="2">
        <f t="shared" si="39"/>
        <v>470.81954116890381</v>
      </c>
      <c r="E215" s="3">
        <f t="shared" si="40"/>
        <v>8165.3919145228865</v>
      </c>
      <c r="F215" s="2">
        <f t="shared" si="43"/>
        <v>3.5048601079571</v>
      </c>
    </row>
    <row r="216" spans="2:6">
      <c r="B216" s="20">
        <f t="shared" si="41"/>
        <v>4.0799999999999864E-2</v>
      </c>
      <c r="C216" s="8">
        <f t="shared" si="42"/>
        <v>4.1615999999999858</v>
      </c>
      <c r="D216" s="2">
        <f t="shared" si="39"/>
        <v>474.15750236769816</v>
      </c>
      <c r="E216" s="3">
        <f t="shared" si="40"/>
        <v>8223.2819530628294</v>
      </c>
      <c r="F216" s="2">
        <f t="shared" si="43"/>
        <v>3.5297084543501103</v>
      </c>
    </row>
    <row r="217" spans="2:6">
      <c r="B217" s="20">
        <f t="shared" si="41"/>
        <v>4.0999999999999863E-2</v>
      </c>
      <c r="C217" s="8">
        <f t="shared" si="42"/>
        <v>4.1819999999999862</v>
      </c>
      <c r="D217" s="2">
        <f t="shared" si="39"/>
        <v>477.50821446577993</v>
      </c>
      <c r="E217" s="3">
        <f t="shared" si="40"/>
        <v>8281.3931295990551</v>
      </c>
      <c r="F217" s="2">
        <f t="shared" si="43"/>
        <v>3.5546517205889323</v>
      </c>
    </row>
    <row r="218" spans="2:6">
      <c r="B218" s="20">
        <f t="shared" si="41"/>
        <v>4.1199999999999862E-2</v>
      </c>
      <c r="C218" s="8">
        <f t="shared" si="42"/>
        <v>4.2023999999999857</v>
      </c>
      <c r="D218" s="2">
        <f t="shared" si="39"/>
        <v>480.87172617115414</v>
      </c>
      <c r="E218" s="3">
        <f t="shared" si="40"/>
        <v>8339.7262888712467</v>
      </c>
      <c r="F218" s="2">
        <f t="shared" si="43"/>
        <v>3.5796902692641752</v>
      </c>
    </row>
    <row r="219" spans="2:6">
      <c r="B219" s="20">
        <f t="shared" si="41"/>
        <v>4.1399999999999861E-2</v>
      </c>
      <c r="C219" s="8">
        <f t="shared" si="42"/>
        <v>4.2227999999999852</v>
      </c>
      <c r="D219" s="2">
        <f t="shared" si="39"/>
        <v>484.24808637788999</v>
      </c>
      <c r="E219" s="3">
        <f t="shared" si="40"/>
        <v>8398.2822788459871</v>
      </c>
      <c r="F219" s="2">
        <f t="shared" si="43"/>
        <v>3.6048244643515379</v>
      </c>
    </row>
    <row r="220" spans="2:6">
      <c r="B220" s="20">
        <f t="shared" si="41"/>
        <v>4.1599999999999859E-2</v>
      </c>
      <c r="C220" s="8">
        <f t="shared" si="42"/>
        <v>4.2431999999999856</v>
      </c>
      <c r="D220" s="2">
        <f t="shared" ref="D220:D249" si="44">$A$6 * POWER(2.718,(C220+$A$8)/5.35) - $A$7</f>
        <v>487.63734416682917</v>
      </c>
      <c r="E220" s="3">
        <f t="shared" ref="E220:E249" si="45">D220*$A$5</f>
        <v>8457.0619507290394</v>
      </c>
      <c r="F220" s="2">
        <f t="shared" si="43"/>
        <v>3.6300546712170902</v>
      </c>
    </row>
    <row r="221" spans="2:6">
      <c r="B221" s="20">
        <f t="shared" si="41"/>
        <v>4.1799999999999858E-2</v>
      </c>
      <c r="C221" s="8">
        <f t="shared" si="42"/>
        <v>4.2635999999999852</v>
      </c>
      <c r="D221" s="2">
        <f t="shared" si="44"/>
        <v>491.03954880630124</v>
      </c>
      <c r="E221" s="3">
        <f t="shared" si="45"/>
        <v>8516.066158977761</v>
      </c>
      <c r="F221" s="2">
        <f t="shared" si="43"/>
        <v>3.6553812566225896</v>
      </c>
    </row>
    <row r="222" spans="2:6">
      <c r="B222" s="20">
        <f t="shared" si="41"/>
        <v>4.1999999999999857E-2</v>
      </c>
      <c r="C222" s="8">
        <f t="shared" si="42"/>
        <v>4.2839999999999847</v>
      </c>
      <c r="D222" s="2">
        <f t="shared" si="44"/>
        <v>494.45474975283901</v>
      </c>
      <c r="E222" s="3">
        <f t="shared" si="45"/>
        <v>8575.2957613135022</v>
      </c>
      <c r="F222" s="2">
        <f t="shared" si="43"/>
        <v>3.6808045887308114</v>
      </c>
    </row>
    <row r="223" spans="2:6">
      <c r="B223" s="20">
        <f t="shared" si="41"/>
        <v>4.2199999999999856E-2</v>
      </c>
      <c r="C223" s="8">
        <f t="shared" si="42"/>
        <v>4.3043999999999842</v>
      </c>
      <c r="D223" s="2">
        <f t="shared" si="44"/>
        <v>497.88299665189697</v>
      </c>
      <c r="E223" s="3">
        <f t="shared" si="45"/>
        <v>8634.7516187340716</v>
      </c>
      <c r="F223" s="2">
        <f t="shared" si="43"/>
        <v>3.7063250371108958</v>
      </c>
    </row>
    <row r="224" spans="2:6">
      <c r="B224" s="20">
        <f t="shared" si="41"/>
        <v>4.2399999999999854E-2</v>
      </c>
      <c r="C224" s="8">
        <f t="shared" si="42"/>
        <v>4.3247999999999847</v>
      </c>
      <c r="D224" s="2">
        <f t="shared" si="44"/>
        <v>501.32433933857487</v>
      </c>
      <c r="E224" s="3">
        <f t="shared" si="45"/>
        <v>8694.4345955262797</v>
      </c>
      <c r="F224" s="2">
        <f t="shared" si="43"/>
        <v>3.7319429727437337</v>
      </c>
    </row>
    <row r="225" spans="2:6">
      <c r="B225" s="20">
        <f t="shared" si="41"/>
        <v>4.2599999999999853E-2</v>
      </c>
      <c r="C225" s="8">
        <f t="shared" si="42"/>
        <v>4.3451999999999851</v>
      </c>
      <c r="D225" s="2">
        <f t="shared" si="44"/>
        <v>504.77882783833957</v>
      </c>
      <c r="E225" s="3">
        <f t="shared" si="45"/>
        <v>8754.3455592784667</v>
      </c>
      <c r="F225" s="2">
        <f t="shared" si="43"/>
        <v>3.7576587680273419</v>
      </c>
    </row>
    <row r="226" spans="2:6">
      <c r="B226" s="20">
        <f t="shared" si="41"/>
        <v>4.2799999999999852E-2</v>
      </c>
      <c r="C226" s="8">
        <f t="shared" si="42"/>
        <v>4.3655999999999846</v>
      </c>
      <c r="D226" s="2">
        <f t="shared" si="44"/>
        <v>508.24651236775378</v>
      </c>
      <c r="E226" s="3">
        <f t="shared" si="45"/>
        <v>8814.4853808931275</v>
      </c>
      <c r="F226" s="2">
        <f t="shared" si="43"/>
        <v>3.7834727967822861</v>
      </c>
    </row>
    <row r="227" spans="2:6">
      <c r="B227" s="20">
        <f t="shared" si="41"/>
        <v>4.2999999999999851E-2</v>
      </c>
      <c r="C227" s="8">
        <f t="shared" si="42"/>
        <v>4.3859999999999841</v>
      </c>
      <c r="D227" s="2">
        <f t="shared" si="44"/>
        <v>511.72744333520643</v>
      </c>
      <c r="E227" s="3">
        <f t="shared" si="45"/>
        <v>8874.8549345995943</v>
      </c>
      <c r="F227" s="2">
        <f t="shared" si="43"/>
        <v>3.8093854342571203</v>
      </c>
    </row>
    <row r="228" spans="2:6">
      <c r="B228" s="20">
        <f t="shared" si="41"/>
        <v>4.319999999999985E-2</v>
      </c>
      <c r="C228" s="8">
        <f t="shared" si="42"/>
        <v>4.4063999999999846</v>
      </c>
      <c r="D228" s="2">
        <f t="shared" si="44"/>
        <v>515.22167134164476</v>
      </c>
      <c r="E228" s="3">
        <f t="shared" si="45"/>
        <v>8935.455097966722</v>
      </c>
      <c r="F228" s="2">
        <f t="shared" si="43"/>
        <v>3.8353970571338323</v>
      </c>
    </row>
    <row r="229" spans="2:6">
      <c r="B229" s="20">
        <f t="shared" si="41"/>
        <v>4.3399999999999848E-2</v>
      </c>
      <c r="C229" s="8">
        <f t="shared" si="42"/>
        <v>4.4267999999999841</v>
      </c>
      <c r="D229" s="2">
        <f t="shared" si="44"/>
        <v>518.72924718130901</v>
      </c>
      <c r="E229" s="3">
        <f t="shared" si="45"/>
        <v>8996.286751915628</v>
      </c>
      <c r="F229" s="2">
        <f t="shared" si="43"/>
        <v>3.861508043533318</v>
      </c>
    </row>
    <row r="230" spans="2:6">
      <c r="B230" s="20">
        <f t="shared" si="41"/>
        <v>4.3599999999999847E-2</v>
      </c>
      <c r="C230" s="8">
        <f t="shared" si="42"/>
        <v>4.4471999999999845</v>
      </c>
      <c r="D230" s="2">
        <f t="shared" si="44"/>
        <v>522.25022184247246</v>
      </c>
      <c r="E230" s="3">
        <f t="shared" si="45"/>
        <v>9057.3507807325423</v>
      </c>
      <c r="F230" s="2">
        <f t="shared" si="43"/>
        <v>3.8877187730208869</v>
      </c>
    </row>
    <row r="231" spans="2:6">
      <c r="B231" s="20">
        <f t="shared" ref="B231:B249" si="46">B230+0.0002</f>
        <v>4.3799999999999846E-2</v>
      </c>
      <c r="C231" s="8">
        <f t="shared" si="42"/>
        <v>4.467599999999984</v>
      </c>
      <c r="D231" s="2">
        <f t="shared" si="44"/>
        <v>525.78464650818182</v>
      </c>
      <c r="E231" s="3">
        <f t="shared" si="45"/>
        <v>9118.6480720816289</v>
      </c>
      <c r="F231" s="2">
        <f t="shared" si="43"/>
        <v>3.9140296266117756</v>
      </c>
    </row>
    <row r="232" spans="2:6">
      <c r="B232" s="20">
        <f t="shared" si="46"/>
        <v>4.3999999999999845E-2</v>
      </c>
      <c r="C232" s="8">
        <f t="shared" si="42"/>
        <v>4.4879999999999836</v>
      </c>
      <c r="D232" s="2">
        <f t="shared" si="44"/>
        <v>529.33257255700084</v>
      </c>
      <c r="E232" s="3">
        <f t="shared" si="45"/>
        <v>9180.1795170178939</v>
      </c>
      <c r="F232" s="2">
        <f t="shared" si="43"/>
        <v>3.9404409867766814</v>
      </c>
    </row>
    <row r="233" spans="2:6">
      <c r="B233" s="20">
        <f t="shared" si="46"/>
        <v>4.4199999999999844E-2</v>
      </c>
      <c r="C233" s="8">
        <f t="shared" si="42"/>
        <v>4.508399999999984</v>
      </c>
      <c r="D233" s="2">
        <f t="shared" si="44"/>
        <v>532.89405156375835</v>
      </c>
      <c r="E233" s="3">
        <f t="shared" si="45"/>
        <v>9241.9460100001561</v>
      </c>
      <c r="F233" s="2">
        <f t="shared" si="43"/>
        <v>3.9669532374473331</v>
      </c>
    </row>
    <row r="234" spans="2:6">
      <c r="B234" s="20">
        <f t="shared" si="46"/>
        <v>4.4399999999999842E-2</v>
      </c>
      <c r="C234" s="8">
        <f t="shared" si="42"/>
        <v>4.5287999999999835</v>
      </c>
      <c r="D234" s="2">
        <f t="shared" si="44"/>
        <v>536.46913530029678</v>
      </c>
      <c r="E234" s="3">
        <f t="shared" si="45"/>
        <v>9303.948448904026</v>
      </c>
      <c r="F234" s="2">
        <f t="shared" si="43"/>
        <v>3.9935667640220602</v>
      </c>
    </row>
    <row r="235" spans="2:6">
      <c r="B235" s="20">
        <f t="shared" si="46"/>
        <v>4.4599999999999841E-2</v>
      </c>
      <c r="C235" s="8">
        <f t="shared" si="42"/>
        <v>4.5491999999999839</v>
      </c>
      <c r="D235" s="2">
        <f t="shared" si="44"/>
        <v>540.05787573622524</v>
      </c>
      <c r="E235" s="3">
        <f t="shared" si="45"/>
        <v>9366.1877350349714</v>
      </c>
      <c r="F235" s="2">
        <f t="shared" si="43"/>
        <v>4.0202819533714038</v>
      </c>
    </row>
    <row r="236" spans="2:6">
      <c r="B236" s="20">
        <f t="shared" si="46"/>
        <v>4.479999999999984E-2</v>
      </c>
      <c r="C236" s="8">
        <f t="shared" si="42"/>
        <v>4.5695999999999835</v>
      </c>
      <c r="D236" s="2">
        <f t="shared" si="44"/>
        <v>543.66032503967517</v>
      </c>
      <c r="E236" s="3">
        <f t="shared" si="45"/>
        <v>9428.6647731414159</v>
      </c>
      <c r="F236" s="2">
        <f t="shared" si="43"/>
        <v>4.047099193843736</v>
      </c>
    </row>
    <row r="237" spans="2:6">
      <c r="B237" s="20">
        <f t="shared" si="46"/>
        <v>4.4999999999999839E-2</v>
      </c>
      <c r="C237" s="8">
        <f t="shared" ref="C237:C249" si="47">$B237*((100-$A$9)/100)*$A$4*100</f>
        <v>4.589999999999983</v>
      </c>
      <c r="D237" s="2">
        <f t="shared" si="44"/>
        <v>547.27653557805877</v>
      </c>
      <c r="E237" s="3">
        <f t="shared" si="45"/>
        <v>9491.3804714278995</v>
      </c>
      <c r="F237" s="2">
        <f t="shared" si="43"/>
        <v>4.0740188752709088</v>
      </c>
    </row>
    <row r="238" spans="2:6">
      <c r="B238" s="20">
        <f t="shared" si="46"/>
        <v>4.5199999999999838E-2</v>
      </c>
      <c r="C238" s="8">
        <f t="shared" si="47"/>
        <v>4.6103999999999834</v>
      </c>
      <c r="D238" s="2">
        <f t="shared" si="44"/>
        <v>550.90655991882954</v>
      </c>
      <c r="E238" s="3">
        <f t="shared" si="45"/>
        <v>9554.3357415682658</v>
      </c>
      <c r="F238" s="2">
        <f t="shared" si="43"/>
        <v>4.1010413889739175</v>
      </c>
    </row>
    <row r="239" spans="2:6">
      <c r="B239" s="20">
        <f t="shared" si="46"/>
        <v>4.5399999999999836E-2</v>
      </c>
      <c r="C239" s="8">
        <f t="shared" si="47"/>
        <v>4.6307999999999829</v>
      </c>
      <c r="D239" s="2">
        <f t="shared" si="44"/>
        <v>554.5504508302472</v>
      </c>
      <c r="E239" s="3">
        <f t="shared" si="45"/>
        <v>9617.5314987189213</v>
      </c>
      <c r="F239" s="2">
        <f t="shared" si="43"/>
        <v>4.1281671277685899</v>
      </c>
    </row>
    <row r="240" spans="2:6">
      <c r="B240" s="20">
        <f t="shared" si="46"/>
        <v>4.5599999999999835E-2</v>
      </c>
      <c r="C240" s="8">
        <f t="shared" si="47"/>
        <v>4.6511999999999833</v>
      </c>
      <c r="D240" s="2">
        <f t="shared" si="44"/>
        <v>558.20826128214424</v>
      </c>
      <c r="E240" s="3">
        <f t="shared" si="45"/>
        <v>9680.9686615321407</v>
      </c>
      <c r="F240" s="2">
        <f t="shared" si="43"/>
        <v>4.1553964859712975</v>
      </c>
    </row>
    <row r="241" spans="2:6">
      <c r="B241" s="20">
        <f t="shared" si="46"/>
        <v>4.5799999999999834E-2</v>
      </c>
      <c r="C241" s="8">
        <f t="shared" si="47"/>
        <v>4.6715999999999829</v>
      </c>
      <c r="D241" s="2">
        <f t="shared" si="44"/>
        <v>561.88004444669627</v>
      </c>
      <c r="E241" s="3">
        <f t="shared" si="45"/>
        <v>9744.6481521694222</v>
      </c>
      <c r="F241" s="2">
        <f t="shared" si="43"/>
        <v>4.1827298594046871</v>
      </c>
    </row>
    <row r="242" spans="2:6">
      <c r="B242" s="20">
        <f t="shared" si="46"/>
        <v>4.5999999999999833E-2</v>
      </c>
      <c r="C242" s="8">
        <f t="shared" si="47"/>
        <v>4.6919999999999833</v>
      </c>
      <c r="D242" s="2">
        <f t="shared" si="44"/>
        <v>565.56585369919458</v>
      </c>
      <c r="E242" s="3">
        <f t="shared" si="45"/>
        <v>9808.5708963148845</v>
      </c>
      <c r="F242" s="2">
        <f t="shared" si="43"/>
        <v>4.2101676454034331</v>
      </c>
    </row>
    <row r="243" spans="2:6">
      <c r="B243" s="20">
        <f t="shared" si="46"/>
        <v>4.6199999999999831E-2</v>
      </c>
      <c r="C243" s="8">
        <f t="shared" si="47"/>
        <v>4.7123999999999828</v>
      </c>
      <c r="D243" s="2">
        <f t="shared" si="44"/>
        <v>569.26574261882229</v>
      </c>
      <c r="E243" s="3">
        <f t="shared" si="45"/>
        <v>9872.7378231887251</v>
      </c>
      <c r="F243" s="2">
        <f t="shared" si="43"/>
        <v>4.2377102428200173</v>
      </c>
    </row>
    <row r="244" spans="2:6">
      <c r="B244" s="20">
        <f t="shared" si="46"/>
        <v>4.639999999999983E-2</v>
      </c>
      <c r="C244" s="8">
        <f t="shared" si="47"/>
        <v>4.7327999999999824</v>
      </c>
      <c r="D244" s="2">
        <f t="shared" si="44"/>
        <v>572.97976498943376</v>
      </c>
      <c r="E244" s="3">
        <f t="shared" si="45"/>
        <v>9937.1498655607484</v>
      </c>
      <c r="F244" s="2">
        <f t="shared" si="43"/>
        <v>4.2653580520305239</v>
      </c>
    </row>
    <row r="245" spans="2:6">
      <c r="B245" s="20">
        <f t="shared" si="46"/>
        <v>4.6599999999999829E-2</v>
      </c>
      <c r="C245" s="8">
        <f t="shared" si="47"/>
        <v>4.7531999999999828</v>
      </c>
      <c r="D245" s="2">
        <f t="shared" si="44"/>
        <v>576.70797480033514</v>
      </c>
      <c r="E245" s="3">
        <f t="shared" si="45"/>
        <v>10001.807959763892</v>
      </c>
      <c r="F245" s="2">
        <f t="shared" si="43"/>
        <v>4.29311147494046</v>
      </c>
    </row>
    <row r="246" spans="2:6">
      <c r="B246" s="20">
        <f t="shared" si="46"/>
        <v>4.6799999999999828E-2</v>
      </c>
      <c r="C246" s="8">
        <f t="shared" si="47"/>
        <v>4.7735999999999823</v>
      </c>
      <c r="D246" s="2">
        <f t="shared" si="44"/>
        <v>580.45042624707014</v>
      </c>
      <c r="E246" s="3">
        <f t="shared" si="45"/>
        <v>10066.713045707853</v>
      </c>
      <c r="F246" s="2">
        <f t="shared" si="43"/>
        <v>4.320970914990597</v>
      </c>
    </row>
    <row r="247" spans="2:6">
      <c r="B247" s="20">
        <f t="shared" si="46"/>
        <v>4.6999999999999827E-2</v>
      </c>
      <c r="C247" s="8">
        <f t="shared" si="47"/>
        <v>4.7939999999999827</v>
      </c>
      <c r="D247" s="2">
        <f t="shared" si="44"/>
        <v>584.20717373220805</v>
      </c>
      <c r="E247" s="3">
        <f t="shared" si="45"/>
        <v>10131.866066892768</v>
      </c>
      <c r="F247" s="2">
        <f t="shared" si="43"/>
        <v>4.3489367771628391</v>
      </c>
    </row>
    <row r="248" spans="2:6">
      <c r="B248" s="20">
        <f t="shared" si="46"/>
        <v>4.7199999999999825E-2</v>
      </c>
      <c r="C248" s="8">
        <f t="shared" si="47"/>
        <v>4.8143999999999822</v>
      </c>
      <c r="D248" s="2">
        <f t="shared" si="44"/>
        <v>587.97827186613335</v>
      </c>
      <c r="E248" s="3">
        <f t="shared" si="45"/>
        <v>10197.267970422892</v>
      </c>
      <c r="F248" s="2">
        <f t="shared" si="43"/>
        <v>4.3770094679861042</v>
      </c>
    </row>
    <row r="249" spans="2:6">
      <c r="B249" s="20">
        <f t="shared" si="46"/>
        <v>4.7399999999999824E-2</v>
      </c>
      <c r="C249" s="8">
        <f t="shared" si="47"/>
        <v>4.8347999999999818</v>
      </c>
      <c r="D249" s="2">
        <f t="shared" si="44"/>
        <v>591.76377546784113</v>
      </c>
      <c r="E249" s="3">
        <f t="shared" si="45"/>
        <v>10262.919707020403</v>
      </c>
      <c r="F249" s="2">
        <f t="shared" si="43"/>
        <v>4.4051893955422416</v>
      </c>
    </row>
  </sheetData>
  <mergeCells count="5">
    <mergeCell ref="Q12:R12"/>
    <mergeCell ref="S14:S21"/>
    <mergeCell ref="S22:S29"/>
    <mergeCell ref="B3:I3"/>
    <mergeCell ref="U11:W1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Y174"/>
  <sheetViews>
    <sheetView topLeftCell="C1" workbookViewId="0">
      <selection activeCell="O1" sqref="O1:Q1048576"/>
    </sheetView>
  </sheetViews>
  <sheetFormatPr defaultRowHeight="15"/>
  <cols>
    <col min="1" max="1" width="8" customWidth="1"/>
    <col min="3" max="3" width="10.140625" customWidth="1"/>
    <col min="4" max="4" width="10.5703125" customWidth="1"/>
    <col min="5" max="5" width="9.7109375" customWidth="1"/>
    <col min="6" max="6" width="9.140625" customWidth="1"/>
    <col min="7" max="7" width="6.42578125" customWidth="1"/>
    <col min="9" max="10" width="9.7109375" customWidth="1"/>
    <col min="11" max="11" width="9.140625" customWidth="1"/>
    <col min="12" max="12" width="10.140625" customWidth="1"/>
    <col min="13" max="13" width="11.5703125" bestFit="1" customWidth="1"/>
    <col min="14" max="14" width="10.140625" customWidth="1"/>
    <col min="18" max="18" width="3.28515625" customWidth="1"/>
    <col min="22" max="22" width="2.140625" customWidth="1"/>
  </cols>
  <sheetData>
    <row r="1" spans="1:25">
      <c r="A1" s="16" t="s">
        <v>16</v>
      </c>
    </row>
    <row r="2" spans="1:25">
      <c r="A2" s="86">
        <v>42604</v>
      </c>
    </row>
    <row r="3" spans="1:25" s="1" customFormat="1">
      <c r="B3" s="96" t="s">
        <v>155</v>
      </c>
      <c r="C3" s="96"/>
      <c r="D3" s="97"/>
      <c r="E3" s="97"/>
      <c r="F3" s="97"/>
      <c r="G3" s="97"/>
      <c r="H3" s="97"/>
      <c r="I3" s="97"/>
    </row>
    <row r="4" spans="1:25">
      <c r="A4">
        <v>3.4</v>
      </c>
      <c r="B4" t="s">
        <v>0</v>
      </c>
    </row>
    <row r="5" spans="1:25">
      <c r="A5">
        <f>7.80432/0.45</f>
        <v>17.342933333333331</v>
      </c>
      <c r="B5" t="s">
        <v>1</v>
      </c>
    </row>
    <row r="6" spans="1:25">
      <c r="A6">
        <v>278</v>
      </c>
      <c r="B6" t="s">
        <v>10</v>
      </c>
    </row>
    <row r="7" spans="1:25">
      <c r="A7">
        <v>278</v>
      </c>
      <c r="B7" t="s">
        <v>8</v>
      </c>
    </row>
    <row r="8" spans="1:25">
      <c r="A8" s="5">
        <f>5.35*LN(A7/A6)</f>
        <v>0</v>
      </c>
      <c r="B8" t="s">
        <v>9</v>
      </c>
    </row>
    <row r="9" spans="1:25">
      <c r="A9">
        <v>70</v>
      </c>
      <c r="B9" t="s">
        <v>5</v>
      </c>
    </row>
    <row r="10" spans="1:25">
      <c r="A10">
        <v>3</v>
      </c>
      <c r="B10" t="s">
        <v>6</v>
      </c>
    </row>
    <row r="11" spans="1:25">
      <c r="O11" s="98" t="s">
        <v>156</v>
      </c>
      <c r="P11" s="99"/>
      <c r="Q11" s="100"/>
      <c r="S11" s="98" t="s">
        <v>156</v>
      </c>
      <c r="T11" s="99"/>
      <c r="U11" s="100"/>
      <c r="W11" s="98" t="s">
        <v>156</v>
      </c>
      <c r="X11" s="99"/>
      <c r="Y11" s="100"/>
    </row>
    <row r="12" spans="1:25" ht="60" customHeight="1">
      <c r="A12" s="17"/>
      <c r="B12" s="18" t="s">
        <v>7</v>
      </c>
      <c r="C12" s="19" t="s">
        <v>2</v>
      </c>
      <c r="D12" s="19" t="s">
        <v>3</v>
      </c>
      <c r="E12" s="19" t="s">
        <v>4</v>
      </c>
      <c r="F12" s="19" t="s">
        <v>12</v>
      </c>
      <c r="H12" s="15" t="s">
        <v>2</v>
      </c>
      <c r="I12" s="15" t="s">
        <v>11</v>
      </c>
      <c r="J12" s="15" t="s">
        <v>154</v>
      </c>
      <c r="K12" s="15" t="s">
        <v>14</v>
      </c>
      <c r="L12" s="15" t="s">
        <v>15</v>
      </c>
      <c r="M12" s="15" t="s">
        <v>13</v>
      </c>
      <c r="O12" s="15" t="s">
        <v>2</v>
      </c>
      <c r="P12" s="15" t="s">
        <v>3</v>
      </c>
      <c r="Q12" s="15" t="s">
        <v>12</v>
      </c>
      <c r="S12" s="15" t="s">
        <v>2</v>
      </c>
      <c r="T12" s="15" t="s">
        <v>3</v>
      </c>
      <c r="U12" s="15" t="s">
        <v>12</v>
      </c>
      <c r="W12" s="15" t="s">
        <v>2</v>
      </c>
      <c r="X12" s="15" t="s">
        <v>3</v>
      </c>
      <c r="Y12" s="15" t="s">
        <v>12</v>
      </c>
    </row>
    <row r="13" spans="1:25">
      <c r="A13" s="9"/>
      <c r="B13" s="20">
        <v>2.0000000000000001E-4</v>
      </c>
      <c r="C13" s="8">
        <f t="shared" ref="C13:C76" si="0">$B13*((100-$A$9)/100)*$A$4*100</f>
        <v>2.0400000000000001E-2</v>
      </c>
      <c r="D13" s="2">
        <f>$A$6 * POWER(2.718,(C13+$A$8)/5.35) - $A$7</f>
        <v>1.0619506311606983</v>
      </c>
      <c r="E13" s="3">
        <f t="shared" ref="E13:E76" si="1">D13*$A$5</f>
        <v>18.417338999511244</v>
      </c>
      <c r="F13" s="2">
        <f>$A$10*$D13/$A$7</f>
        <v>1.1459898897417609E-2</v>
      </c>
      <c r="H13" s="8">
        <f>5.35*LN(($A$7+L13)/$A$7)</f>
        <v>0.82132293569788439</v>
      </c>
      <c r="I13" s="21">
        <v>1</v>
      </c>
      <c r="J13" s="88">
        <f>I13*100</f>
        <v>100</v>
      </c>
      <c r="K13" s="2">
        <f>I13*10/$A$5</f>
        <v>0.57660372716649244</v>
      </c>
      <c r="L13" s="2">
        <f>I13*800/$A$5</f>
        <v>46.128298173319401</v>
      </c>
      <c r="M13" s="2">
        <f>$A$10*$L13/$A$7</f>
        <v>0.49778739035956188</v>
      </c>
      <c r="O13" s="91">
        <v>2</v>
      </c>
      <c r="P13" s="90">
        <f>$A$6 * POWER(2.718,(O13)/5.35)</f>
        <v>403.99969738603977</v>
      </c>
      <c r="Q13" s="89">
        <f>3*(P13-278)/278</f>
        <v>1.3597089645975515</v>
      </c>
      <c r="S13" s="92">
        <v>3</v>
      </c>
      <c r="T13" s="90">
        <f t="shared" ref="T13:T22" si="2">$A$6 * POWER(2.718,(S13)/5.35)</f>
        <v>487.02265257536936</v>
      </c>
      <c r="U13" s="89">
        <f t="shared" ref="U13:U22" si="3">3*(T13-278)/278</f>
        <v>2.2556401357054248</v>
      </c>
      <c r="W13" s="92">
        <v>4</v>
      </c>
      <c r="X13" s="90">
        <f t="shared" ref="X13:X22" si="4">$A$6 * POWER(2.718,(W13)/5.35)</f>
        <v>587.10703412953853</v>
      </c>
      <c r="Y13" s="89">
        <f t="shared" ref="Y13:Y22" si="5">3*(X13-278)/278</f>
        <v>3.3356874186640848</v>
      </c>
    </row>
    <row r="14" spans="1:25" ht="15" customHeight="1">
      <c r="A14" s="9"/>
      <c r="B14" s="20">
        <f>B13+0.0002</f>
        <v>4.0000000000000002E-4</v>
      </c>
      <c r="C14" s="8">
        <f t="shared" si="0"/>
        <v>4.0800000000000003E-2</v>
      </c>
      <c r="D14" s="2">
        <f t="shared" ref="D14:D77" si="6">$A$6 * POWER(2.718,(C14+$A$8)/5.35) - $A$7</f>
        <v>2.1279578779437429</v>
      </c>
      <c r="E14" s="3">
        <f t="shared" si="1"/>
        <v>36.9050316133198</v>
      </c>
      <c r="F14" s="2">
        <f t="shared" ref="F14:F77" si="7">$A$10*$D14/$A$7</f>
        <v>2.2963574222414494E-2</v>
      </c>
      <c r="H14" s="8">
        <f t="shared" ref="H14:H77" si="8">5.35*LN(($A$7+L14)/$A$7)</f>
        <v>0.21745058993398428</v>
      </c>
      <c r="I14" s="21">
        <f>I13+1</f>
        <v>2</v>
      </c>
      <c r="J14" s="88">
        <f t="shared" ref="J14:J32" si="9">I14*100</f>
        <v>200</v>
      </c>
      <c r="K14" s="2">
        <f t="shared" ref="K14:K77" si="10">I14*10/$A$5</f>
        <v>1.1532074543329849</v>
      </c>
      <c r="L14" s="2">
        <f t="shared" ref="L14:L27" si="11">I14*100/$A$5</f>
        <v>11.53207454332985</v>
      </c>
      <c r="M14" s="2">
        <f t="shared" ref="M14:M77" si="12">$A$10*$L14/$A$7</f>
        <v>0.12444684758989047</v>
      </c>
      <c r="O14" s="92">
        <f>O13+0.1</f>
        <v>2.1</v>
      </c>
      <c r="P14" s="90">
        <f t="shared" ref="P14:P53" si="13">$A$6 * POWER(2.718,(O14)/5.35)</f>
        <v>411.62131143715243</v>
      </c>
      <c r="Q14" s="89">
        <f t="shared" ref="Q14:Q53" si="14">3*(P14-278)/278</f>
        <v>1.4419565982426521</v>
      </c>
      <c r="S14" s="92">
        <f t="shared" ref="S14:S22" si="15">S13+0.1</f>
        <v>3.1</v>
      </c>
      <c r="T14" s="90">
        <f t="shared" si="2"/>
        <v>496.21052750719554</v>
      </c>
      <c r="U14" s="89">
        <f t="shared" si="3"/>
        <v>2.354789865185563</v>
      </c>
      <c r="W14" s="92">
        <f t="shared" ref="W14:W22" si="16">W13+0.1</f>
        <v>4.0999999999999996</v>
      </c>
      <c r="X14" s="90">
        <f t="shared" si="4"/>
        <v>598.18304049731807</v>
      </c>
      <c r="Y14" s="89">
        <f t="shared" si="5"/>
        <v>3.4552126672372454</v>
      </c>
    </row>
    <row r="15" spans="1:25">
      <c r="A15" s="9"/>
      <c r="B15" s="20">
        <f t="shared" ref="B15:B78" si="17">B14+0.0002</f>
        <v>6.0000000000000006E-4</v>
      </c>
      <c r="C15" s="8">
        <f t="shared" si="0"/>
        <v>6.1200000000000004E-2</v>
      </c>
      <c r="D15" s="2">
        <f t="shared" si="6"/>
        <v>3.1980372364841969</v>
      </c>
      <c r="E15" s="3">
        <f t="shared" si="1"/>
        <v>55.463346589862986</v>
      </c>
      <c r="F15" s="2">
        <f t="shared" si="7"/>
        <v>3.4511193199469749E-2</v>
      </c>
      <c r="H15" s="8">
        <f t="shared" si="8"/>
        <v>0.32294890289075989</v>
      </c>
      <c r="I15" s="21">
        <f t="shared" ref="I15:I78" si="18">I14+1</f>
        <v>3</v>
      </c>
      <c r="J15" s="88">
        <f t="shared" si="9"/>
        <v>300</v>
      </c>
      <c r="K15" s="2">
        <f t="shared" si="10"/>
        <v>1.7298111814994774</v>
      </c>
      <c r="L15" s="2">
        <f t="shared" si="11"/>
        <v>17.298111814994776</v>
      </c>
      <c r="M15" s="2">
        <f t="shared" si="12"/>
        <v>0.18667027138483572</v>
      </c>
      <c r="O15" s="92">
        <f t="shared" ref="O15:O53" si="19">O14+0.1</f>
        <v>2.2000000000000002</v>
      </c>
      <c r="P15" s="90">
        <f t="shared" si="13"/>
        <v>419.38671025127343</v>
      </c>
      <c r="Q15" s="89">
        <f t="shared" si="14"/>
        <v>1.5257558660209363</v>
      </c>
      <c r="S15" s="92">
        <f t="shared" si="15"/>
        <v>3.2</v>
      </c>
      <c r="T15" s="90">
        <f t="shared" si="2"/>
        <v>505.57173533291598</v>
      </c>
      <c r="U15" s="89">
        <f t="shared" si="3"/>
        <v>2.4558100935206761</v>
      </c>
      <c r="W15" s="92">
        <f t="shared" si="16"/>
        <v>4.1999999999999993</v>
      </c>
      <c r="X15" s="90">
        <f t="shared" si="4"/>
        <v>609.46800010518416</v>
      </c>
      <c r="Y15" s="89">
        <f t="shared" si="5"/>
        <v>3.5769928068904764</v>
      </c>
    </row>
    <row r="16" spans="1:25">
      <c r="A16" s="9"/>
      <c r="B16" s="20">
        <f t="shared" si="17"/>
        <v>8.0000000000000004E-4</v>
      </c>
      <c r="C16" s="8">
        <f t="shared" si="0"/>
        <v>8.1600000000000006E-2</v>
      </c>
      <c r="D16" s="2">
        <f t="shared" si="6"/>
        <v>4.2722042621115861</v>
      </c>
      <c r="E16" s="3">
        <f t="shared" si="1"/>
        <v>74.092553704183757</v>
      </c>
      <c r="F16" s="2">
        <f t="shared" si="7"/>
        <v>4.6102923691851649E-2</v>
      </c>
      <c r="H16" s="8">
        <f t="shared" si="8"/>
        <v>0.42640702808751058</v>
      </c>
      <c r="I16" s="21">
        <f t="shared" si="18"/>
        <v>4</v>
      </c>
      <c r="J16" s="88">
        <f t="shared" si="9"/>
        <v>400</v>
      </c>
      <c r="K16" s="2">
        <f t="shared" si="10"/>
        <v>2.3064149086659698</v>
      </c>
      <c r="L16" s="2">
        <f t="shared" si="11"/>
        <v>23.0641490866597</v>
      </c>
      <c r="M16" s="2">
        <f t="shared" si="12"/>
        <v>0.24889369517978094</v>
      </c>
      <c r="O16" s="92">
        <f t="shared" si="19"/>
        <v>2.3000000000000003</v>
      </c>
      <c r="P16" s="90">
        <f t="shared" si="13"/>
        <v>427.29860638481614</v>
      </c>
      <c r="Q16" s="89">
        <f t="shared" si="14"/>
        <v>1.6111360401239152</v>
      </c>
      <c r="S16" s="92">
        <f t="shared" si="15"/>
        <v>3.3000000000000003</v>
      </c>
      <c r="T16" s="90">
        <f t="shared" si="2"/>
        <v>515.10954604611754</v>
      </c>
      <c r="U16" s="89">
        <f t="shared" si="3"/>
        <v>2.5587361084113405</v>
      </c>
      <c r="W16" s="92">
        <f t="shared" si="16"/>
        <v>4.2999999999999989</v>
      </c>
      <c r="X16" s="90">
        <f t="shared" si="4"/>
        <v>620.96585493864097</v>
      </c>
      <c r="Y16" s="89">
        <f t="shared" si="5"/>
        <v>3.7010703770356943</v>
      </c>
    </row>
    <row r="17" spans="1:25">
      <c r="A17" s="9"/>
      <c r="B17" s="20">
        <f t="shared" si="17"/>
        <v>1E-3</v>
      </c>
      <c r="C17" s="8">
        <f t="shared" si="0"/>
        <v>0.10199999999999998</v>
      </c>
      <c r="D17" s="2">
        <f t="shared" si="6"/>
        <v>5.3504745695765905</v>
      </c>
      <c r="E17" s="3">
        <f t="shared" si="1"/>
        <v>92.792923761862156</v>
      </c>
      <c r="F17" s="2">
        <f t="shared" si="7"/>
        <v>5.7738934204063924E-2</v>
      </c>
      <c r="H17" s="8">
        <f t="shared" si="8"/>
        <v>0.52790237949048213</v>
      </c>
      <c r="I17" s="21">
        <f t="shared" si="18"/>
        <v>5</v>
      </c>
      <c r="J17" s="88">
        <f t="shared" si="9"/>
        <v>500</v>
      </c>
      <c r="K17" s="2">
        <f t="shared" si="10"/>
        <v>2.8830186358324625</v>
      </c>
      <c r="L17" s="2">
        <f t="shared" si="11"/>
        <v>28.830186358324625</v>
      </c>
      <c r="M17" s="2">
        <f t="shared" si="12"/>
        <v>0.31111711897472616</v>
      </c>
      <c r="O17" s="92">
        <f t="shared" si="19"/>
        <v>2.4000000000000004</v>
      </c>
      <c r="P17" s="90">
        <f t="shared" si="13"/>
        <v>435.35976356764303</v>
      </c>
      <c r="Q17" s="89">
        <f t="shared" si="14"/>
        <v>1.6981269449745651</v>
      </c>
      <c r="S17" s="92">
        <f t="shared" si="15"/>
        <v>3.4000000000000004</v>
      </c>
      <c r="T17" s="90">
        <f t="shared" si="2"/>
        <v>524.82729133010946</v>
      </c>
      <c r="U17" s="89">
        <f t="shared" si="3"/>
        <v>2.6636038632745627</v>
      </c>
      <c r="W17" s="92">
        <f t="shared" si="16"/>
        <v>4.3999999999999986</v>
      </c>
      <c r="X17" s="90">
        <f t="shared" si="4"/>
        <v>632.68062135030777</v>
      </c>
      <c r="Y17" s="89">
        <f t="shared" si="5"/>
        <v>3.8274887196076377</v>
      </c>
    </row>
    <row r="18" spans="1:25">
      <c r="A18" s="9"/>
      <c r="B18" s="20">
        <f t="shared" si="17"/>
        <v>1.2000000000000001E-3</v>
      </c>
      <c r="C18" s="8">
        <f t="shared" si="0"/>
        <v>0.12240000000000001</v>
      </c>
      <c r="D18" s="2">
        <f t="shared" si="6"/>
        <v>6.4328638332774517</v>
      </c>
      <c r="E18" s="3">
        <f t="shared" si="1"/>
        <v>111.56472860294194</v>
      </c>
      <c r="F18" s="2">
        <f t="shared" si="7"/>
        <v>6.9419393884289041E-2</v>
      </c>
      <c r="H18" s="8">
        <f t="shared" si="8"/>
        <v>0.62750804682443251</v>
      </c>
      <c r="I18" s="21">
        <f t="shared" si="18"/>
        <v>6</v>
      </c>
      <c r="J18" s="88">
        <f t="shared" si="9"/>
        <v>600</v>
      </c>
      <c r="K18" s="2">
        <f t="shared" si="10"/>
        <v>3.4596223629989549</v>
      </c>
      <c r="L18" s="2">
        <f t="shared" si="11"/>
        <v>34.596223629989552</v>
      </c>
      <c r="M18" s="2">
        <f t="shared" si="12"/>
        <v>0.37334054276967144</v>
      </c>
      <c r="O18" s="92">
        <f t="shared" si="19"/>
        <v>2.5000000000000004</v>
      </c>
      <c r="P18" s="90">
        <f t="shared" si="13"/>
        <v>443.57299766847353</v>
      </c>
      <c r="Q18" s="89">
        <f t="shared" si="14"/>
        <v>1.7867589676453979</v>
      </c>
      <c r="S18" s="92">
        <f t="shared" si="15"/>
        <v>3.5000000000000004</v>
      </c>
      <c r="T18" s="90">
        <f t="shared" si="2"/>
        <v>534.728365721724</v>
      </c>
      <c r="U18" s="89">
        <f t="shared" si="3"/>
        <v>2.7704499898027772</v>
      </c>
      <c r="W18" s="92">
        <f t="shared" si="16"/>
        <v>4.4999999999999982</v>
      </c>
      <c r="X18" s="90">
        <f t="shared" si="4"/>
        <v>644.61639146288405</v>
      </c>
      <c r="Y18" s="89">
        <f t="shared" si="5"/>
        <v>3.9562919942037844</v>
      </c>
    </row>
    <row r="19" spans="1:25">
      <c r="A19" s="9"/>
      <c r="B19" s="20">
        <f t="shared" si="17"/>
        <v>1.4000000000000002E-3</v>
      </c>
      <c r="C19" s="8">
        <f t="shared" si="0"/>
        <v>0.14280000000000001</v>
      </c>
      <c r="D19" s="2">
        <f t="shared" si="6"/>
        <v>7.5193877874881991</v>
      </c>
      <c r="E19" s="3">
        <f t="shared" si="1"/>
        <v>130.40824110588866</v>
      </c>
      <c r="F19" s="2">
        <f t="shared" si="7"/>
        <v>8.1144472526851072E-2</v>
      </c>
      <c r="H19" s="8">
        <f t="shared" si="8"/>
        <v>0.72529311175625544</v>
      </c>
      <c r="I19" s="21">
        <f t="shared" si="18"/>
        <v>7</v>
      </c>
      <c r="J19" s="88">
        <f t="shared" si="9"/>
        <v>700</v>
      </c>
      <c r="K19" s="2">
        <f t="shared" si="10"/>
        <v>4.0362260901654476</v>
      </c>
      <c r="L19" s="2">
        <f t="shared" si="11"/>
        <v>40.362260901654473</v>
      </c>
      <c r="M19" s="2">
        <f t="shared" si="12"/>
        <v>0.4355639665646166</v>
      </c>
      <c r="O19" s="92">
        <f t="shared" si="19"/>
        <v>2.6000000000000005</v>
      </c>
      <c r="P19" s="90">
        <f t="shared" si="13"/>
        <v>451.94117767850389</v>
      </c>
      <c r="Q19" s="89">
        <f t="shared" si="14"/>
        <v>1.8770630684730636</v>
      </c>
      <c r="S19" s="92">
        <f t="shared" si="15"/>
        <v>3.6000000000000005</v>
      </c>
      <c r="T19" s="90">
        <f t="shared" si="2"/>
        <v>544.81622779707322</v>
      </c>
      <c r="U19" s="89">
        <f t="shared" si="3"/>
        <v>2.8793118107597828</v>
      </c>
      <c r="W19" s="92">
        <f t="shared" si="16"/>
        <v>4.5999999999999979</v>
      </c>
      <c r="X19" s="90">
        <f t="shared" si="4"/>
        <v>656.77733459858246</v>
      </c>
      <c r="Y19" s="89">
        <f t="shared" si="5"/>
        <v>4.0875251935098822</v>
      </c>
    </row>
    <row r="20" spans="1:25">
      <c r="A20" s="9"/>
      <c r="B20" s="20">
        <f t="shared" si="17"/>
        <v>1.6000000000000003E-3</v>
      </c>
      <c r="C20" s="8">
        <f t="shared" si="0"/>
        <v>0.16320000000000001</v>
      </c>
      <c r="D20" s="2">
        <f t="shared" si="6"/>
        <v>8.6100622265872175</v>
      </c>
      <c r="E20" s="3">
        <f t="shared" si="1"/>
        <v>149.32373519155365</v>
      </c>
      <c r="F20" s="2">
        <f t="shared" si="7"/>
        <v>9.2914340574682203E-2</v>
      </c>
      <c r="H20" s="8">
        <f t="shared" si="8"/>
        <v>0.82132293569788439</v>
      </c>
      <c r="I20" s="21">
        <f t="shared" si="18"/>
        <v>8</v>
      </c>
      <c r="J20" s="88">
        <f t="shared" si="9"/>
        <v>800</v>
      </c>
      <c r="K20" s="2">
        <f t="shared" si="10"/>
        <v>4.6128298173319395</v>
      </c>
      <c r="L20" s="2">
        <f t="shared" si="11"/>
        <v>46.128298173319401</v>
      </c>
      <c r="M20" s="2">
        <f t="shared" si="12"/>
        <v>0.49778739035956188</v>
      </c>
      <c r="O20" s="92">
        <f t="shared" si="19"/>
        <v>2.7000000000000006</v>
      </c>
      <c r="P20" s="90">
        <f t="shared" si="13"/>
        <v>460.46722671358407</v>
      </c>
      <c r="Q20" s="89">
        <f t="shared" si="14"/>
        <v>1.9690707918732093</v>
      </c>
      <c r="S20" s="92">
        <f t="shared" si="15"/>
        <v>3.7000000000000006</v>
      </c>
      <c r="T20" s="90">
        <f t="shared" si="2"/>
        <v>555.09440137967511</v>
      </c>
      <c r="U20" s="89">
        <f t="shared" si="3"/>
        <v>2.9902273530180765</v>
      </c>
      <c r="W20" s="92">
        <f t="shared" si="16"/>
        <v>4.6999999999999975</v>
      </c>
      <c r="X20" s="90">
        <f t="shared" si="4"/>
        <v>669.16769873552801</v>
      </c>
      <c r="Y20" s="89">
        <f t="shared" si="5"/>
        <v>4.2212341590164888</v>
      </c>
    </row>
    <row r="21" spans="1:25">
      <c r="A21" s="9"/>
      <c r="B21" s="20">
        <f t="shared" si="17"/>
        <v>1.8000000000000004E-3</v>
      </c>
      <c r="C21" s="8">
        <f t="shared" si="0"/>
        <v>0.18360000000000004</v>
      </c>
      <c r="D21" s="2">
        <f t="shared" si="6"/>
        <v>9.7049030052869512</v>
      </c>
      <c r="E21" s="3">
        <f t="shared" si="1"/>
        <v>168.3114858271579</v>
      </c>
      <c r="F21" s="2">
        <f t="shared" si="7"/>
        <v>0.10472916912180164</v>
      </c>
      <c r="H21" s="8">
        <f t="shared" si="8"/>
        <v>0.83083179175540456</v>
      </c>
      <c r="I21" s="21">
        <f t="shared" si="18"/>
        <v>9</v>
      </c>
      <c r="J21" s="88">
        <f t="shared" si="9"/>
        <v>900</v>
      </c>
      <c r="K21" s="2">
        <f t="shared" si="10"/>
        <v>5.1894335444984323</v>
      </c>
      <c r="L21" s="2">
        <f>I21*90/$A$5</f>
        <v>46.704901900485893</v>
      </c>
      <c r="M21" s="2">
        <f t="shared" si="12"/>
        <v>0.50400973273905647</v>
      </c>
      <c r="O21" s="92">
        <f t="shared" si="19"/>
        <v>2.8000000000000007</v>
      </c>
      <c r="P21" s="90">
        <f t="shared" si="13"/>
        <v>469.1541230352999</v>
      </c>
      <c r="Q21" s="89">
        <f t="shared" si="14"/>
        <v>2.0628142773593514</v>
      </c>
      <c r="S21" s="92">
        <f t="shared" si="15"/>
        <v>3.8000000000000007</v>
      </c>
      <c r="T21" s="90">
        <f t="shared" si="2"/>
        <v>565.56647677137187</v>
      </c>
      <c r="U21" s="89">
        <f t="shared" si="3"/>
        <v>3.1032353608421426</v>
      </c>
      <c r="W21" s="92">
        <f t="shared" si="16"/>
        <v>4.7999999999999972</v>
      </c>
      <c r="X21" s="90">
        <f t="shared" si="4"/>
        <v>681.79181199163281</v>
      </c>
      <c r="Y21" s="89">
        <f t="shared" si="5"/>
        <v>4.3574655970320091</v>
      </c>
    </row>
    <row r="22" spans="1:25" ht="15" customHeight="1">
      <c r="A22" s="9"/>
      <c r="B22" s="20">
        <f t="shared" si="17"/>
        <v>2.0000000000000005E-3</v>
      </c>
      <c r="C22" s="8">
        <f t="shared" si="0"/>
        <v>0.20400000000000007</v>
      </c>
      <c r="D22" s="2">
        <f t="shared" si="6"/>
        <v>10.803926038864233</v>
      </c>
      <c r="E22" s="3">
        <f t="shared" si="1"/>
        <v>187.37176903028646</v>
      </c>
      <c r="F22" s="2">
        <f t="shared" si="7"/>
        <v>0.11658912991580107</v>
      </c>
      <c r="H22" s="8">
        <f t="shared" si="8"/>
        <v>1.0083612567965479</v>
      </c>
      <c r="I22" s="21">
        <f t="shared" si="18"/>
        <v>10</v>
      </c>
      <c r="J22" s="88">
        <f t="shared" si="9"/>
        <v>1000</v>
      </c>
      <c r="K22" s="2">
        <f t="shared" si="10"/>
        <v>5.7660372716649251</v>
      </c>
      <c r="L22" s="2">
        <f t="shared" si="11"/>
        <v>57.660372716649249</v>
      </c>
      <c r="M22" s="2">
        <f t="shared" si="12"/>
        <v>0.62223423794945232</v>
      </c>
      <c r="O22" s="92">
        <f t="shared" si="19"/>
        <v>2.9000000000000008</v>
      </c>
      <c r="P22" s="90">
        <f t="shared" si="13"/>
        <v>478.00490109132039</v>
      </c>
      <c r="Q22" s="89">
        <f t="shared" si="14"/>
        <v>2.1583262707696447</v>
      </c>
      <c r="S22" s="92">
        <f t="shared" si="15"/>
        <v>3.9000000000000008</v>
      </c>
      <c r="T22" s="90">
        <f t="shared" si="2"/>
        <v>576.23611200646974</v>
      </c>
      <c r="U22" s="89">
        <f t="shared" si="3"/>
        <v>3.2183753094223353</v>
      </c>
      <c r="W22" s="92">
        <f t="shared" si="16"/>
        <v>4.8999999999999968</v>
      </c>
      <c r="X22" s="90">
        <f t="shared" si="4"/>
        <v>694.65408413646458</v>
      </c>
      <c r="Y22" s="89">
        <f t="shared" si="5"/>
        <v>4.4962670949978198</v>
      </c>
    </row>
    <row r="23" spans="1:25">
      <c r="A23" s="9"/>
      <c r="B23" s="20">
        <f t="shared" si="17"/>
        <v>2.2000000000000006E-3</v>
      </c>
      <c r="C23" s="8">
        <f t="shared" si="0"/>
        <v>0.22440000000000004</v>
      </c>
      <c r="D23" s="2">
        <f t="shared" si="6"/>
        <v>11.907147303391753</v>
      </c>
      <c r="E23" s="3">
        <f t="shared" si="1"/>
        <v>206.50486187290292</v>
      </c>
      <c r="F23" s="2">
        <f t="shared" si="7"/>
        <v>0.12849439536034266</v>
      </c>
      <c r="H23" s="8">
        <f t="shared" si="8"/>
        <v>1.0994841259605346</v>
      </c>
      <c r="I23" s="21">
        <f t="shared" si="18"/>
        <v>11</v>
      </c>
      <c r="J23" s="88">
        <f t="shared" si="9"/>
        <v>1100</v>
      </c>
      <c r="K23" s="2">
        <f t="shared" si="10"/>
        <v>6.342640998831417</v>
      </c>
      <c r="L23" s="2">
        <f t="shared" si="11"/>
        <v>63.42640998831417</v>
      </c>
      <c r="M23" s="2">
        <f t="shared" si="12"/>
        <v>0.68445766174439759</v>
      </c>
      <c r="O23" s="92">
        <f t="shared" si="19"/>
        <v>3.0000000000000009</v>
      </c>
      <c r="P23" s="90">
        <f t="shared" si="13"/>
        <v>487.02265257536942</v>
      </c>
      <c r="Q23" s="89">
        <f t="shared" si="14"/>
        <v>2.2556401357054252</v>
      </c>
      <c r="S23" s="92"/>
      <c r="T23" s="90"/>
      <c r="U23" s="89"/>
      <c r="W23" s="92"/>
      <c r="X23" s="90"/>
      <c r="Y23" s="89"/>
    </row>
    <row r="24" spans="1:25">
      <c r="A24" s="9"/>
      <c r="B24" s="20">
        <f t="shared" si="17"/>
        <v>2.4000000000000007E-3</v>
      </c>
      <c r="C24" s="8">
        <f t="shared" si="0"/>
        <v>0.24480000000000005</v>
      </c>
      <c r="D24" s="2">
        <f t="shared" si="6"/>
        <v>13.014582835970316</v>
      </c>
      <c r="E24" s="3">
        <f t="shared" si="1"/>
        <v>225.71104248537742</v>
      </c>
      <c r="F24" s="2">
        <f t="shared" si="7"/>
        <v>0.14044513851766527</v>
      </c>
      <c r="H24" s="8">
        <f t="shared" si="8"/>
        <v>1.1890809183288262</v>
      </c>
      <c r="I24" s="21">
        <f t="shared" si="18"/>
        <v>12</v>
      </c>
      <c r="J24" s="88">
        <f t="shared" si="9"/>
        <v>1200</v>
      </c>
      <c r="K24" s="2">
        <f t="shared" si="10"/>
        <v>6.9192447259979097</v>
      </c>
      <c r="L24" s="2">
        <f t="shared" si="11"/>
        <v>69.192447259979105</v>
      </c>
      <c r="M24" s="2">
        <f t="shared" si="12"/>
        <v>0.74668108553934287</v>
      </c>
      <c r="O24" s="92">
        <f t="shared" si="19"/>
        <v>3.100000000000001</v>
      </c>
      <c r="P24" s="90">
        <f t="shared" si="13"/>
        <v>496.21052750719559</v>
      </c>
      <c r="Q24" s="89">
        <f t="shared" si="14"/>
        <v>2.3547898651855639</v>
      </c>
      <c r="S24" s="92"/>
      <c r="T24" s="90"/>
      <c r="U24" s="89"/>
      <c r="W24" s="92"/>
      <c r="X24" s="90"/>
      <c r="Y24" s="89"/>
    </row>
    <row r="25" spans="1:25">
      <c r="A25" s="9"/>
      <c r="B25" s="20">
        <f t="shared" si="17"/>
        <v>2.6000000000000007E-3</v>
      </c>
      <c r="C25" s="8">
        <f t="shared" si="0"/>
        <v>0.26520000000000005</v>
      </c>
      <c r="D25" s="2">
        <f t="shared" si="6"/>
        <v>14.126248734961791</v>
      </c>
      <c r="E25" s="3">
        <f t="shared" si="1"/>
        <v>244.99059006052664</v>
      </c>
      <c r="F25" s="2">
        <f t="shared" si="7"/>
        <v>0.15244153311109845</v>
      </c>
      <c r="H25" s="8">
        <f t="shared" si="8"/>
        <v>1.2772019089048741</v>
      </c>
      <c r="I25" s="21">
        <f t="shared" si="18"/>
        <v>13</v>
      </c>
      <c r="J25" s="88">
        <f t="shared" si="9"/>
        <v>1300</v>
      </c>
      <c r="K25" s="2">
        <f t="shared" si="10"/>
        <v>7.4958484531644025</v>
      </c>
      <c r="L25" s="2">
        <f t="shared" si="11"/>
        <v>74.958484531644018</v>
      </c>
      <c r="M25" s="2">
        <f t="shared" si="12"/>
        <v>0.80890450933428792</v>
      </c>
      <c r="O25" s="92">
        <f t="shared" si="19"/>
        <v>3.2000000000000011</v>
      </c>
      <c r="P25" s="90">
        <f t="shared" si="13"/>
        <v>505.57173533291609</v>
      </c>
      <c r="Q25" s="89">
        <f t="shared" si="14"/>
        <v>2.455810093520677</v>
      </c>
      <c r="S25" s="92"/>
      <c r="T25" s="90"/>
      <c r="U25" s="89"/>
      <c r="W25" s="92"/>
      <c r="X25" s="90"/>
      <c r="Y25" s="89"/>
    </row>
    <row r="26" spans="1:25">
      <c r="A26" s="9"/>
      <c r="B26" s="20">
        <f t="shared" si="17"/>
        <v>2.8000000000000008E-3</v>
      </c>
      <c r="C26" s="8">
        <f t="shared" si="0"/>
        <v>0.28560000000000008</v>
      </c>
      <c r="D26" s="2">
        <f t="shared" si="6"/>
        <v>15.242161160223247</v>
      </c>
      <c r="E26" s="3">
        <f t="shared" si="1"/>
        <v>264.34378485767439</v>
      </c>
      <c r="F26" s="2">
        <f t="shared" si="7"/>
        <v>0.16448375352758901</v>
      </c>
      <c r="H26" s="8">
        <f t="shared" si="8"/>
        <v>1.3638949285121638</v>
      </c>
      <c r="I26" s="21">
        <f t="shared" si="18"/>
        <v>14</v>
      </c>
      <c r="J26" s="88">
        <f t="shared" si="9"/>
        <v>1400</v>
      </c>
      <c r="K26" s="2">
        <f t="shared" si="10"/>
        <v>8.0724521803308953</v>
      </c>
      <c r="L26" s="2">
        <f t="shared" si="11"/>
        <v>80.724521803308946</v>
      </c>
      <c r="M26" s="2">
        <f t="shared" si="12"/>
        <v>0.8711279331292332</v>
      </c>
      <c r="O26" s="92">
        <f t="shared" si="19"/>
        <v>3.3000000000000012</v>
      </c>
      <c r="P26" s="90">
        <f t="shared" si="13"/>
        <v>515.10954604611766</v>
      </c>
      <c r="Q26" s="89">
        <f t="shared" si="14"/>
        <v>2.5587361084113418</v>
      </c>
      <c r="S26" s="92"/>
      <c r="T26" s="90"/>
      <c r="U26" s="89"/>
      <c r="W26" s="92"/>
      <c r="X26" s="90"/>
      <c r="Y26" s="89"/>
    </row>
    <row r="27" spans="1:25">
      <c r="A27" s="9"/>
      <c r="B27" s="20">
        <f t="shared" si="17"/>
        <v>3.0000000000000009E-3</v>
      </c>
      <c r="C27" s="8">
        <f t="shared" si="0"/>
        <v>0.30600000000000005</v>
      </c>
      <c r="D27" s="2">
        <f t="shared" si="6"/>
        <v>16.362336333342</v>
      </c>
      <c r="E27" s="3">
        <f t="shared" si="1"/>
        <v>283.77090820672805</v>
      </c>
      <c r="F27" s="2">
        <f t="shared" si="7"/>
        <v>0.17657197482023743</v>
      </c>
      <c r="H27" s="8">
        <f t="shared" si="8"/>
        <v>1.4492055197066163</v>
      </c>
      <c r="I27" s="21">
        <f t="shared" si="18"/>
        <v>15</v>
      </c>
      <c r="J27" s="88">
        <f t="shared" si="9"/>
        <v>1500</v>
      </c>
      <c r="K27" s="2">
        <f t="shared" si="10"/>
        <v>8.6490559074973881</v>
      </c>
      <c r="L27" s="2">
        <f t="shared" si="11"/>
        <v>86.490559074973874</v>
      </c>
      <c r="M27" s="2">
        <f t="shared" si="12"/>
        <v>0.93335135692417848</v>
      </c>
      <c r="O27" s="92">
        <f t="shared" si="19"/>
        <v>3.4000000000000012</v>
      </c>
      <c r="P27" s="90">
        <f t="shared" si="13"/>
        <v>524.82729133010957</v>
      </c>
      <c r="Q27" s="89">
        <f t="shared" si="14"/>
        <v>2.6636038632745636</v>
      </c>
      <c r="S27" s="92"/>
      <c r="T27" s="90"/>
      <c r="U27" s="89"/>
      <c r="W27" s="92"/>
      <c r="X27" s="90"/>
      <c r="Y27" s="89"/>
    </row>
    <row r="28" spans="1:25">
      <c r="A28" s="9"/>
      <c r="B28" s="20">
        <f t="shared" si="17"/>
        <v>3.200000000000001E-3</v>
      </c>
      <c r="C28" s="8">
        <f t="shared" si="0"/>
        <v>0.32640000000000008</v>
      </c>
      <c r="D28" s="2">
        <f t="shared" si="6"/>
        <v>17.486790537871229</v>
      </c>
      <c r="E28" s="3">
        <f t="shared" si="1"/>
        <v>303.27224251226482</v>
      </c>
      <c r="F28" s="2">
        <f t="shared" si="7"/>
        <v>0.18870637271084059</v>
      </c>
      <c r="H28" s="8">
        <f t="shared" si="8"/>
        <v>1.3293861129324223</v>
      </c>
      <c r="I28" s="21">
        <f t="shared" si="18"/>
        <v>16</v>
      </c>
      <c r="J28" s="88">
        <f t="shared" si="9"/>
        <v>1600</v>
      </c>
      <c r="K28" s="2">
        <f t="shared" si="10"/>
        <v>9.2256596346638791</v>
      </c>
      <c r="L28" s="2">
        <f t="shared" ref="L28:L77" si="20">I28*85/$A$5</f>
        <v>78.418106894642975</v>
      </c>
      <c r="M28" s="2">
        <f t="shared" si="12"/>
        <v>0.84623856361125516</v>
      </c>
      <c r="O28" s="92">
        <f t="shared" si="19"/>
        <v>3.5000000000000013</v>
      </c>
      <c r="P28" s="90">
        <f t="shared" si="13"/>
        <v>534.72836572172412</v>
      </c>
      <c r="Q28" s="89">
        <f t="shared" si="14"/>
        <v>2.7704499898027781</v>
      </c>
    </row>
    <row r="29" spans="1:25">
      <c r="A29" s="9"/>
      <c r="B29" s="20">
        <f t="shared" si="17"/>
        <v>3.4000000000000011E-3</v>
      </c>
      <c r="C29" s="8">
        <f t="shared" si="0"/>
        <v>0.34680000000000011</v>
      </c>
      <c r="D29" s="2">
        <f t="shared" si="6"/>
        <v>18.615540119566674</v>
      </c>
      <c r="E29" s="3">
        <f t="shared" si="1"/>
        <v>322.84807125763683</v>
      </c>
      <c r="F29" s="2">
        <f t="shared" si="7"/>
        <v>0.20088712359244612</v>
      </c>
      <c r="H29" s="8">
        <f t="shared" si="8"/>
        <v>1.4024531261757744</v>
      </c>
      <c r="I29" s="21">
        <f t="shared" si="18"/>
        <v>17</v>
      </c>
      <c r="J29" s="88">
        <f t="shared" si="9"/>
        <v>1700</v>
      </c>
      <c r="K29" s="2">
        <f t="shared" si="10"/>
        <v>9.8022633618303718</v>
      </c>
      <c r="L29" s="2">
        <f t="shared" si="20"/>
        <v>83.31923857555816</v>
      </c>
      <c r="M29" s="2">
        <f t="shared" si="12"/>
        <v>0.8991284738369586</v>
      </c>
      <c r="O29" s="92">
        <f t="shared" si="19"/>
        <v>3.6000000000000014</v>
      </c>
      <c r="P29" s="90">
        <f t="shared" si="13"/>
        <v>544.81622779707322</v>
      </c>
      <c r="Q29" s="89">
        <f t="shared" si="14"/>
        <v>2.8793118107597828</v>
      </c>
    </row>
    <row r="30" spans="1:25">
      <c r="A30" s="9"/>
      <c r="B30" s="20">
        <f t="shared" si="17"/>
        <v>3.6000000000000012E-3</v>
      </c>
      <c r="C30" s="8">
        <f t="shared" si="0"/>
        <v>0.36720000000000008</v>
      </c>
      <c r="D30" s="2">
        <f t="shared" si="6"/>
        <v>19.748601486624352</v>
      </c>
      <c r="E30" s="3">
        <f t="shared" si="1"/>
        <v>342.49867900909368</v>
      </c>
      <c r="F30" s="2">
        <f t="shared" si="7"/>
        <v>0.21311440453191746</v>
      </c>
      <c r="H30" s="8">
        <f t="shared" si="8"/>
        <v>1.4745356652875934</v>
      </c>
      <c r="I30" s="21">
        <f t="shared" si="18"/>
        <v>18</v>
      </c>
      <c r="J30" s="88">
        <f t="shared" si="9"/>
        <v>1800</v>
      </c>
      <c r="K30" s="2">
        <f t="shared" si="10"/>
        <v>10.378867088996865</v>
      </c>
      <c r="L30" s="2">
        <f t="shared" si="20"/>
        <v>88.220370256473345</v>
      </c>
      <c r="M30" s="2">
        <f t="shared" si="12"/>
        <v>0.95201838406266193</v>
      </c>
      <c r="O30" s="92">
        <f t="shared" si="19"/>
        <v>3.7000000000000015</v>
      </c>
      <c r="P30" s="90">
        <f t="shared" si="13"/>
        <v>555.09440137967522</v>
      </c>
      <c r="Q30" s="89">
        <f t="shared" si="14"/>
        <v>2.9902273530180778</v>
      </c>
    </row>
    <row r="31" spans="1:25">
      <c r="A31" s="9"/>
      <c r="B31" s="20">
        <f t="shared" si="17"/>
        <v>3.8000000000000013E-3</v>
      </c>
      <c r="C31" s="8">
        <f t="shared" si="0"/>
        <v>0.38760000000000017</v>
      </c>
      <c r="D31" s="2">
        <f t="shared" si="6"/>
        <v>20.885991109919132</v>
      </c>
      <c r="E31" s="3">
        <f t="shared" si="1"/>
        <v>362.22435141992014</v>
      </c>
      <c r="F31" s="2">
        <f t="shared" si="7"/>
        <v>0.22538839327250862</v>
      </c>
      <c r="H31" s="8">
        <f t="shared" si="8"/>
        <v>1.5456599067465535</v>
      </c>
      <c r="I31" s="21">
        <f t="shared" si="18"/>
        <v>19</v>
      </c>
      <c r="J31" s="88">
        <f t="shared" si="9"/>
        <v>1900</v>
      </c>
      <c r="K31" s="2">
        <f t="shared" si="10"/>
        <v>10.955470816163357</v>
      </c>
      <c r="L31" s="2">
        <f t="shared" si="20"/>
        <v>93.12150193738853</v>
      </c>
      <c r="M31" s="2">
        <f t="shared" si="12"/>
        <v>1.0049082942883654</v>
      </c>
      <c r="O31" s="92">
        <f t="shared" si="19"/>
        <v>3.8000000000000016</v>
      </c>
      <c r="P31" s="90">
        <f t="shared" si="13"/>
        <v>565.56647677137187</v>
      </c>
      <c r="Q31" s="89">
        <f t="shared" si="14"/>
        <v>3.1032353608421426</v>
      </c>
    </row>
    <row r="32" spans="1:25">
      <c r="A32" s="9"/>
      <c r="B32" s="20">
        <f t="shared" si="17"/>
        <v>4.000000000000001E-3</v>
      </c>
      <c r="C32" s="8">
        <f t="shared" si="0"/>
        <v>0.40800000000000014</v>
      </c>
      <c r="D32" s="2">
        <f t="shared" si="6"/>
        <v>22.027725523243816</v>
      </c>
      <c r="E32" s="3">
        <f t="shared" si="1"/>
        <v>382.02537523458255</v>
      </c>
      <c r="F32" s="2">
        <f t="shared" si="7"/>
        <v>0.23770926823644406</v>
      </c>
      <c r="H32" s="8">
        <f t="shared" si="8"/>
        <v>1.6158509966929449</v>
      </c>
      <c r="I32" s="21">
        <f t="shared" si="18"/>
        <v>20</v>
      </c>
      <c r="J32" s="88">
        <f t="shared" si="9"/>
        <v>2000</v>
      </c>
      <c r="K32" s="2">
        <f t="shared" si="10"/>
        <v>11.53207454332985</v>
      </c>
      <c r="L32" s="2">
        <f t="shared" si="20"/>
        <v>98.022633618303715</v>
      </c>
      <c r="M32" s="2">
        <f t="shared" si="12"/>
        <v>1.0577982045140688</v>
      </c>
      <c r="O32" s="92">
        <f t="shared" si="19"/>
        <v>3.9000000000000017</v>
      </c>
      <c r="P32" s="90">
        <f t="shared" si="13"/>
        <v>576.23611200646985</v>
      </c>
      <c r="Q32" s="89">
        <f t="shared" si="14"/>
        <v>3.2183753094223366</v>
      </c>
    </row>
    <row r="33" spans="1:19">
      <c r="A33" s="9"/>
      <c r="B33" s="20">
        <f t="shared" si="17"/>
        <v>4.2000000000000006E-3</v>
      </c>
      <c r="C33" s="8">
        <f t="shared" si="0"/>
        <v>0.42840000000000006</v>
      </c>
      <c r="D33" s="2">
        <f t="shared" si="6"/>
        <v>23.17382132354993</v>
      </c>
      <c r="E33" s="3">
        <f t="shared" si="1"/>
        <v>401.90203829290482</v>
      </c>
      <c r="F33" s="2">
        <f t="shared" si="7"/>
        <v>0.25007720852751725</v>
      </c>
      <c r="H33" s="8">
        <f t="shared" si="8"/>
        <v>1.6851331043029922</v>
      </c>
      <c r="I33" s="21">
        <f t="shared" si="18"/>
        <v>21</v>
      </c>
      <c r="J33" s="88">
        <f t="shared" ref="J33:J77" si="21">I33*85</f>
        <v>1785</v>
      </c>
      <c r="K33" s="2">
        <f t="shared" si="10"/>
        <v>12.108678270496343</v>
      </c>
      <c r="L33" s="2">
        <f t="shared" si="20"/>
        <v>102.92376529921891</v>
      </c>
      <c r="M33" s="2">
        <f t="shared" si="12"/>
        <v>1.1106881147397725</v>
      </c>
      <c r="O33" s="92">
        <f t="shared" si="19"/>
        <v>4.0000000000000018</v>
      </c>
      <c r="P33" s="90">
        <f t="shared" si="13"/>
        <v>587.10703412953865</v>
      </c>
      <c r="Q33" s="89">
        <f t="shared" si="14"/>
        <v>3.3356874186640861</v>
      </c>
    </row>
    <row r="34" spans="1:19">
      <c r="A34" s="9"/>
      <c r="B34" s="20">
        <f t="shared" si="17"/>
        <v>4.4000000000000003E-3</v>
      </c>
      <c r="C34" s="8">
        <f t="shared" si="0"/>
        <v>0.44879999999999998</v>
      </c>
      <c r="D34" s="2">
        <f t="shared" si="6"/>
        <v>24.324295171188908</v>
      </c>
      <c r="E34" s="3">
        <f t="shared" si="1"/>
        <v>421.8546295342511</v>
      </c>
      <c r="F34" s="2">
        <f t="shared" si="7"/>
        <v>0.26249239393369322</v>
      </c>
      <c r="H34" s="8">
        <f t="shared" si="8"/>
        <v>1.7535294717511305</v>
      </c>
      <c r="I34" s="21">
        <f t="shared" si="18"/>
        <v>22</v>
      </c>
      <c r="J34" s="88">
        <f t="shared" si="21"/>
        <v>1870</v>
      </c>
      <c r="K34" s="2">
        <f t="shared" si="10"/>
        <v>12.685281997662834</v>
      </c>
      <c r="L34" s="2">
        <f t="shared" si="20"/>
        <v>107.8248969801341</v>
      </c>
      <c r="M34" s="2">
        <f t="shared" si="12"/>
        <v>1.1635780249654759</v>
      </c>
      <c r="O34" s="92">
        <f t="shared" si="19"/>
        <v>4.1000000000000014</v>
      </c>
      <c r="P34" s="90">
        <f t="shared" si="13"/>
        <v>598.18304049731819</v>
      </c>
      <c r="Q34" s="89">
        <f t="shared" si="14"/>
        <v>3.4552126672372467</v>
      </c>
    </row>
    <row r="35" spans="1:19">
      <c r="A35" s="9"/>
      <c r="B35" s="20">
        <f t="shared" si="17"/>
        <v>4.5999999999999999E-3</v>
      </c>
      <c r="C35" s="8">
        <f t="shared" si="0"/>
        <v>0.46920000000000001</v>
      </c>
      <c r="D35" s="2">
        <f t="shared" si="6"/>
        <v>25.479163790153791</v>
      </c>
      <c r="E35" s="3">
        <f t="shared" si="1"/>
        <v>441.88343900171782</v>
      </c>
      <c r="F35" s="2">
        <f t="shared" si="7"/>
        <v>0.27495500492971719</v>
      </c>
      <c r="H35" s="8">
        <f t="shared" si="8"/>
        <v>1.8210624610187145</v>
      </c>
      <c r="I35" s="21">
        <f t="shared" si="18"/>
        <v>23</v>
      </c>
      <c r="J35" s="88">
        <f t="shared" si="21"/>
        <v>1955</v>
      </c>
      <c r="K35" s="2">
        <f t="shared" si="10"/>
        <v>13.261885724829327</v>
      </c>
      <c r="L35" s="2">
        <f t="shared" si="20"/>
        <v>112.72602866104928</v>
      </c>
      <c r="M35" s="2">
        <f t="shared" si="12"/>
        <v>1.2164679351911794</v>
      </c>
      <c r="O35" s="92">
        <f t="shared" si="19"/>
        <v>4.2000000000000011</v>
      </c>
      <c r="P35" s="90">
        <f t="shared" si="13"/>
        <v>609.46800010518439</v>
      </c>
      <c r="Q35" s="89">
        <f t="shared" si="14"/>
        <v>3.576992806890479</v>
      </c>
      <c r="R35" s="84"/>
      <c r="S35" s="84"/>
    </row>
    <row r="36" spans="1:19">
      <c r="A36" s="9"/>
      <c r="B36" s="20">
        <f t="shared" si="17"/>
        <v>4.7999999999999996E-3</v>
      </c>
      <c r="C36" s="8">
        <f t="shared" si="0"/>
        <v>0.48959999999999992</v>
      </c>
      <c r="D36" s="2">
        <f t="shared" si="6"/>
        <v>26.638443968323088</v>
      </c>
      <c r="E36" s="3">
        <f t="shared" si="1"/>
        <v>461.98875784636272</v>
      </c>
      <c r="F36" s="2">
        <f t="shared" si="7"/>
        <v>0.28746522267974556</v>
      </c>
      <c r="H36" s="8">
        <f t="shared" si="8"/>
        <v>1.8877535977850128</v>
      </c>
      <c r="I36" s="21">
        <f t="shared" si="18"/>
        <v>24</v>
      </c>
      <c r="J36" s="88">
        <f t="shared" si="21"/>
        <v>2040</v>
      </c>
      <c r="K36" s="2">
        <f t="shared" si="10"/>
        <v>13.838489451995819</v>
      </c>
      <c r="L36" s="2">
        <f t="shared" si="20"/>
        <v>117.62716034196447</v>
      </c>
      <c r="M36" s="2">
        <f t="shared" si="12"/>
        <v>1.2693578454168828</v>
      </c>
      <c r="O36" s="92">
        <f t="shared" si="19"/>
        <v>4.3000000000000007</v>
      </c>
      <c r="P36" s="90">
        <f t="shared" si="13"/>
        <v>620.9658549386412</v>
      </c>
      <c r="Q36" s="89">
        <f t="shared" si="14"/>
        <v>3.7010703770356961</v>
      </c>
      <c r="R36" s="84"/>
      <c r="S36" s="84"/>
    </row>
    <row r="37" spans="1:19">
      <c r="A37" s="9"/>
      <c r="B37" s="20">
        <f t="shared" si="17"/>
        <v>4.9999999999999992E-3</v>
      </c>
      <c r="C37" s="8">
        <f t="shared" si="0"/>
        <v>0.5099999999999999</v>
      </c>
      <c r="D37" s="2">
        <f t="shared" si="6"/>
        <v>27.802152557704289</v>
      </c>
      <c r="E37" s="3">
        <f t="shared" si="1"/>
        <v>482.17087833142824</v>
      </c>
      <c r="F37" s="2">
        <f t="shared" si="7"/>
        <v>0.30002322903997436</v>
      </c>
      <c r="H37" s="8">
        <f t="shared" si="8"/>
        <v>1.9536236126160749</v>
      </c>
      <c r="I37" s="21">
        <f t="shared" si="18"/>
        <v>25</v>
      </c>
      <c r="J37" s="88">
        <f t="shared" si="21"/>
        <v>2125</v>
      </c>
      <c r="K37" s="2">
        <f t="shared" si="10"/>
        <v>14.415093179162312</v>
      </c>
      <c r="L37" s="2">
        <f t="shared" si="20"/>
        <v>122.52829202287965</v>
      </c>
      <c r="M37" s="2">
        <f t="shared" si="12"/>
        <v>1.3222477556425862</v>
      </c>
      <c r="O37" s="92">
        <f t="shared" si="19"/>
        <v>4.4000000000000004</v>
      </c>
      <c r="P37" s="90">
        <f t="shared" si="13"/>
        <v>632.680621350308</v>
      </c>
      <c r="Q37" s="89">
        <f t="shared" si="14"/>
        <v>3.8274887196076404</v>
      </c>
      <c r="R37" s="84"/>
      <c r="S37" s="84"/>
    </row>
    <row r="38" spans="1:19">
      <c r="B38" s="20">
        <f t="shared" si="17"/>
        <v>5.1999999999999989E-3</v>
      </c>
      <c r="C38" s="8">
        <f t="shared" si="0"/>
        <v>0.53039999999999976</v>
      </c>
      <c r="D38" s="2">
        <f t="shared" si="6"/>
        <v>28.970306474678864</v>
      </c>
      <c r="E38" s="3">
        <f t="shared" si="1"/>
        <v>502.43009383659052</v>
      </c>
      <c r="F38" s="2">
        <f t="shared" si="7"/>
        <v>0.31262920656128268</v>
      </c>
      <c r="H38" s="8">
        <f t="shared" si="8"/>
        <v>2.0186924796486512</v>
      </c>
      <c r="I38" s="21">
        <f t="shared" si="18"/>
        <v>26</v>
      </c>
      <c r="J38" s="88">
        <f t="shared" si="21"/>
        <v>2210</v>
      </c>
      <c r="K38" s="2">
        <f t="shared" si="10"/>
        <v>14.991696906328805</v>
      </c>
      <c r="L38" s="2">
        <f t="shared" si="20"/>
        <v>127.42942370379484</v>
      </c>
      <c r="M38" s="2">
        <f t="shared" si="12"/>
        <v>1.3751376658682897</v>
      </c>
      <c r="O38" s="92">
        <f t="shared" si="19"/>
        <v>4.5</v>
      </c>
      <c r="P38" s="90">
        <f t="shared" si="13"/>
        <v>644.61639146288428</v>
      </c>
      <c r="Q38" s="89">
        <f t="shared" si="14"/>
        <v>3.9562919942037875</v>
      </c>
      <c r="R38" s="84"/>
      <c r="S38" s="84"/>
    </row>
    <row r="39" spans="1:19">
      <c r="B39" s="20">
        <f t="shared" si="17"/>
        <v>5.3999999999999986E-3</v>
      </c>
      <c r="C39" s="8">
        <f t="shared" si="0"/>
        <v>0.55079999999999985</v>
      </c>
      <c r="D39" s="2">
        <f t="shared" si="6"/>
        <v>30.142922700248562</v>
      </c>
      <c r="E39" s="3">
        <f t="shared" si="1"/>
        <v>522.76669886223067</v>
      </c>
      <c r="F39" s="2">
        <f t="shared" si="7"/>
        <v>0.32528333849189095</v>
      </c>
      <c r="H39" s="8">
        <f t="shared" si="8"/>
        <v>2.0829794529497985</v>
      </c>
      <c r="I39" s="21">
        <f t="shared" si="18"/>
        <v>27</v>
      </c>
      <c r="J39" s="88">
        <f t="shared" si="21"/>
        <v>2295</v>
      </c>
      <c r="K39" s="2">
        <f t="shared" si="10"/>
        <v>15.568300633495298</v>
      </c>
      <c r="L39" s="2">
        <f t="shared" si="20"/>
        <v>132.33055538471001</v>
      </c>
      <c r="M39" s="2">
        <f t="shared" si="12"/>
        <v>1.4280275760939929</v>
      </c>
      <c r="O39" s="92">
        <f t="shared" si="19"/>
        <v>4.5999999999999996</v>
      </c>
      <c r="P39" s="90">
        <f t="shared" si="13"/>
        <v>656.7773345985828</v>
      </c>
      <c r="Q39" s="89">
        <f t="shared" si="14"/>
        <v>4.0875251935098857</v>
      </c>
      <c r="R39" s="84"/>
      <c r="S39" s="84"/>
    </row>
    <row r="40" spans="1:19">
      <c r="A40" s="4"/>
      <c r="B40" s="20">
        <f t="shared" si="17"/>
        <v>5.5999999999999982E-3</v>
      </c>
      <c r="C40" s="8">
        <f t="shared" si="0"/>
        <v>0.57119999999999971</v>
      </c>
      <c r="D40" s="2">
        <f t="shared" si="6"/>
        <v>31.320018280281772</v>
      </c>
      <c r="E40" s="3">
        <f t="shared" si="1"/>
        <v>543.18098903370799</v>
      </c>
      <c r="F40" s="2">
        <f t="shared" si="7"/>
        <v>0.3379858087800191</v>
      </c>
      <c r="H40" s="8">
        <f t="shared" si="8"/>
        <v>2.1465031007177475</v>
      </c>
      <c r="I40" s="21">
        <f t="shared" si="18"/>
        <v>28</v>
      </c>
      <c r="J40" s="88">
        <f t="shared" si="21"/>
        <v>2380</v>
      </c>
      <c r="K40" s="2">
        <f t="shared" si="10"/>
        <v>16.144904360661791</v>
      </c>
      <c r="L40" s="2">
        <f t="shared" si="20"/>
        <v>137.23168706562521</v>
      </c>
      <c r="M40" s="2">
        <f t="shared" si="12"/>
        <v>1.4809174863196963</v>
      </c>
      <c r="O40" s="92">
        <f t="shared" si="19"/>
        <v>4.6999999999999993</v>
      </c>
      <c r="P40" s="90">
        <f t="shared" si="13"/>
        <v>669.16769873552823</v>
      </c>
      <c r="Q40" s="89">
        <f t="shared" si="14"/>
        <v>4.2212341590164923</v>
      </c>
      <c r="R40" s="84"/>
      <c r="S40" s="84"/>
    </row>
    <row r="41" spans="1:19">
      <c r="B41" s="20">
        <f t="shared" si="17"/>
        <v>5.7999999999999979E-3</v>
      </c>
      <c r="C41" s="8">
        <f t="shared" si="0"/>
        <v>0.59159999999999979</v>
      </c>
      <c r="D41" s="2">
        <f t="shared" si="6"/>
        <v>32.501610325761533</v>
      </c>
      <c r="E41" s="3">
        <f t="shared" si="1"/>
        <v>563.67326110566046</v>
      </c>
      <c r="F41" s="2">
        <f t="shared" si="7"/>
        <v>0.35073680207656333</v>
      </c>
      <c r="H41" s="8">
        <f t="shared" si="8"/>
        <v>2.2092813374760505</v>
      </c>
      <c r="I41" s="21">
        <f t="shared" si="18"/>
        <v>29</v>
      </c>
      <c r="J41" s="88">
        <f t="shared" si="21"/>
        <v>2465</v>
      </c>
      <c r="K41" s="2">
        <f t="shared" si="10"/>
        <v>16.721508087828283</v>
      </c>
      <c r="L41" s="2">
        <f t="shared" si="20"/>
        <v>142.13281874654041</v>
      </c>
      <c r="M41" s="2">
        <f t="shared" si="12"/>
        <v>1.5338073965454</v>
      </c>
      <c r="O41" s="92">
        <f t="shared" si="19"/>
        <v>4.7999999999999989</v>
      </c>
      <c r="P41" s="90">
        <f t="shared" si="13"/>
        <v>681.79181199163293</v>
      </c>
      <c r="Q41" s="89">
        <f t="shared" si="14"/>
        <v>4.35746559703201</v>
      </c>
      <c r="R41" s="84"/>
      <c r="S41" s="84"/>
    </row>
    <row r="42" spans="1:19">
      <c r="B42" s="20">
        <f t="shared" si="17"/>
        <v>5.9999999999999975E-3</v>
      </c>
      <c r="C42" s="8">
        <f t="shared" si="0"/>
        <v>0.61199999999999966</v>
      </c>
      <c r="D42" s="2">
        <f t="shared" si="6"/>
        <v>33.68771601303439</v>
      </c>
      <c r="E42" s="3">
        <f t="shared" si="1"/>
        <v>584.24381296632112</v>
      </c>
      <c r="F42" s="2">
        <f t="shared" si="7"/>
        <v>0.36353650373778118</v>
      </c>
      <c r="H42" s="8">
        <f t="shared" si="8"/>
        <v>2.2713314544006633</v>
      </c>
      <c r="I42" s="21">
        <f t="shared" si="18"/>
        <v>30</v>
      </c>
      <c r="J42" s="88">
        <f t="shared" si="21"/>
        <v>2550</v>
      </c>
      <c r="K42" s="2">
        <f t="shared" si="10"/>
        <v>17.298111814994776</v>
      </c>
      <c r="L42" s="2">
        <f t="shared" si="20"/>
        <v>147.03395042745558</v>
      </c>
      <c r="M42" s="2">
        <f t="shared" si="12"/>
        <v>1.5866973067711034</v>
      </c>
      <c r="O42" s="92">
        <f t="shared" si="19"/>
        <v>4.8999999999999986</v>
      </c>
      <c r="P42" s="90">
        <f t="shared" si="13"/>
        <v>694.6540841364648</v>
      </c>
      <c r="Q42" s="89">
        <f t="shared" si="14"/>
        <v>4.4962670949978216</v>
      </c>
      <c r="R42" s="84"/>
      <c r="S42" s="84"/>
    </row>
    <row r="43" spans="1:19">
      <c r="B43" s="20">
        <f t="shared" si="17"/>
        <v>6.1999999999999972E-3</v>
      </c>
      <c r="C43" s="8">
        <f t="shared" si="0"/>
        <v>0.63239999999999963</v>
      </c>
      <c r="D43" s="2">
        <f t="shared" si="6"/>
        <v>34.878352584059826</v>
      </c>
      <c r="E43" s="3">
        <f t="shared" si="1"/>
        <v>604.89294364184389</v>
      </c>
      <c r="F43" s="2">
        <f t="shared" si="7"/>
        <v>0.37638509982798374</v>
      </c>
      <c r="H43" s="8">
        <f t="shared" si="8"/>
        <v>2.3326701479083889</v>
      </c>
      <c r="I43" s="21">
        <f t="shared" si="18"/>
        <v>31</v>
      </c>
      <c r="J43" s="88">
        <f t="shared" si="21"/>
        <v>2635</v>
      </c>
      <c r="K43" s="2">
        <f t="shared" si="10"/>
        <v>17.874715542161265</v>
      </c>
      <c r="L43" s="2">
        <f t="shared" si="20"/>
        <v>151.93508210837078</v>
      </c>
      <c r="M43" s="2">
        <f t="shared" si="12"/>
        <v>1.6395872169968069</v>
      </c>
      <c r="O43" s="92">
        <f t="shared" si="19"/>
        <v>4.9999999999999982</v>
      </c>
      <c r="P43" s="90">
        <f t="shared" si="13"/>
        <v>707.75900813163867</v>
      </c>
      <c r="Q43" s="89">
        <f t="shared" si="14"/>
        <v>4.6376871381112084</v>
      </c>
      <c r="R43" s="84"/>
      <c r="S43" s="84"/>
    </row>
    <row r="44" spans="1:19">
      <c r="A44" s="6"/>
      <c r="B44" s="20">
        <f t="shared" si="17"/>
        <v>6.3999999999999968E-3</v>
      </c>
      <c r="C44" s="8">
        <f t="shared" si="0"/>
        <v>0.6527999999999996</v>
      </c>
      <c r="D44" s="2">
        <f t="shared" si="6"/>
        <v>36.073537346661055</v>
      </c>
      <c r="E44" s="3">
        <f t="shared" si="1"/>
        <v>625.62095330065279</v>
      </c>
      <c r="F44" s="2">
        <f t="shared" si="7"/>
        <v>0.38928277712224163</v>
      </c>
      <c r="H44" s="8">
        <f t="shared" si="8"/>
        <v>2.3933135466249578</v>
      </c>
      <c r="I44" s="21">
        <f t="shared" si="18"/>
        <v>32</v>
      </c>
      <c r="J44" s="88">
        <f t="shared" si="21"/>
        <v>2720</v>
      </c>
      <c r="K44" s="2">
        <f t="shared" si="10"/>
        <v>18.451319269327758</v>
      </c>
      <c r="L44" s="2">
        <f t="shared" si="20"/>
        <v>156.83621378928595</v>
      </c>
      <c r="M44" s="2">
        <f t="shared" si="12"/>
        <v>1.6924771272225103</v>
      </c>
      <c r="O44" s="92">
        <f t="shared" si="19"/>
        <v>5.0999999999999979</v>
      </c>
      <c r="P44" s="90">
        <f t="shared" si="13"/>
        <v>721.11116170026651</v>
      </c>
      <c r="Q44" s="89">
        <f t="shared" si="14"/>
        <v>4.7817751262618682</v>
      </c>
      <c r="R44" s="84"/>
      <c r="S44" s="84"/>
    </row>
    <row r="45" spans="1:19">
      <c r="A45" s="6"/>
      <c r="B45" s="20">
        <f t="shared" si="17"/>
        <v>6.5999999999999965E-3</v>
      </c>
      <c r="C45" s="8">
        <f t="shared" si="0"/>
        <v>0.67319999999999947</v>
      </c>
      <c r="D45" s="2">
        <f t="shared" si="6"/>
        <v>37.273287674776725</v>
      </c>
      <c r="E45" s="3">
        <f t="shared" si="1"/>
        <v>646.42814325780762</v>
      </c>
      <c r="F45" s="2">
        <f t="shared" si="7"/>
        <v>0.40222972310910132</v>
      </c>
      <c r="H45" s="8">
        <f t="shared" si="8"/>
        <v>2.4532772368417173</v>
      </c>
      <c r="I45" s="21">
        <f t="shared" si="18"/>
        <v>33</v>
      </c>
      <c r="J45" s="88">
        <f t="shared" si="21"/>
        <v>2805</v>
      </c>
      <c r="K45" s="2">
        <f t="shared" si="10"/>
        <v>19.027922996494251</v>
      </c>
      <c r="L45" s="2">
        <f t="shared" si="20"/>
        <v>161.73734547020115</v>
      </c>
      <c r="M45" s="2">
        <f t="shared" si="12"/>
        <v>1.7453670374482138</v>
      </c>
      <c r="O45" s="92">
        <f t="shared" si="19"/>
        <v>5.1999999999999975</v>
      </c>
      <c r="P45" s="90">
        <f t="shared" si="13"/>
        <v>734.71520892601779</v>
      </c>
      <c r="Q45" s="89">
        <f t="shared" si="14"/>
        <v>4.9285813912879615</v>
      </c>
      <c r="R45" s="84"/>
      <c r="S45" s="84"/>
    </row>
    <row r="46" spans="1:19">
      <c r="A46" s="6"/>
      <c r="B46" s="20">
        <f t="shared" si="17"/>
        <v>6.7999999999999962E-3</v>
      </c>
      <c r="C46" s="8">
        <f t="shared" si="0"/>
        <v>0.69359999999999955</v>
      </c>
      <c r="D46" s="2">
        <f t="shared" si="6"/>
        <v>38.477621008713186</v>
      </c>
      <c r="E46" s="3">
        <f t="shared" si="1"/>
        <v>667.31481597937875</v>
      </c>
      <c r="F46" s="2">
        <f t="shared" si="7"/>
        <v>0.41522612599330777</v>
      </c>
      <c r="H46" s="8">
        <f t="shared" si="8"/>
        <v>2.5125762865614338</v>
      </c>
      <c r="I46" s="21">
        <f t="shared" si="18"/>
        <v>34</v>
      </c>
      <c r="J46" s="88">
        <f t="shared" si="21"/>
        <v>2890</v>
      </c>
      <c r="K46" s="2">
        <f t="shared" si="10"/>
        <v>19.604526723660744</v>
      </c>
      <c r="L46" s="2">
        <f t="shared" si="20"/>
        <v>166.63847715111632</v>
      </c>
      <c r="M46" s="2">
        <f t="shared" si="12"/>
        <v>1.7982569476739172</v>
      </c>
      <c r="O46" s="92">
        <f t="shared" si="19"/>
        <v>5.2999999999999972</v>
      </c>
      <c r="P46" s="90">
        <f t="shared" si="13"/>
        <v>748.57590188234417</v>
      </c>
      <c r="Q46" s="89">
        <f t="shared" si="14"/>
        <v>5.0781572145576712</v>
      </c>
      <c r="R46" s="84"/>
      <c r="S46" s="84"/>
    </row>
    <row r="47" spans="1:19">
      <c r="A47" s="6"/>
      <c r="B47" s="20">
        <f t="shared" si="17"/>
        <v>6.9999999999999958E-3</v>
      </c>
      <c r="C47" s="8">
        <f t="shared" si="0"/>
        <v>0.71399999999999952</v>
      </c>
      <c r="D47" s="2">
        <f t="shared" si="6"/>
        <v>39.686554855398185</v>
      </c>
      <c r="E47" s="3">
        <f t="shared" si="1"/>
        <v>688.2812750868469</v>
      </c>
      <c r="F47" s="2">
        <f t="shared" si="7"/>
        <v>0.42827217469854156</v>
      </c>
      <c r="H47" s="8">
        <f t="shared" si="8"/>
        <v>2.5712252682260335</v>
      </c>
      <c r="I47" s="21">
        <f t="shared" si="18"/>
        <v>35</v>
      </c>
      <c r="J47" s="88">
        <f t="shared" si="21"/>
        <v>2975</v>
      </c>
      <c r="K47" s="2">
        <f t="shared" si="10"/>
        <v>20.181130450827236</v>
      </c>
      <c r="L47" s="2">
        <f t="shared" si="20"/>
        <v>171.53960883203152</v>
      </c>
      <c r="M47" s="2">
        <f t="shared" si="12"/>
        <v>1.8511468578996209</v>
      </c>
      <c r="O47" s="92">
        <f t="shared" si="19"/>
        <v>5.3999999999999968</v>
      </c>
      <c r="P47" s="90">
        <f t="shared" si="13"/>
        <v>762.69808229244234</v>
      </c>
      <c r="Q47" s="89">
        <f t="shared" si="14"/>
        <v>5.2305548448824712</v>
      </c>
      <c r="R47" s="84"/>
      <c r="S47" s="84"/>
    </row>
    <row r="48" spans="1:19">
      <c r="A48" s="6"/>
      <c r="B48" s="20">
        <f t="shared" si="17"/>
        <v>7.1999999999999955E-3</v>
      </c>
      <c r="C48" s="8">
        <f t="shared" si="0"/>
        <v>0.7343999999999995</v>
      </c>
      <c r="D48" s="2">
        <f t="shared" si="6"/>
        <v>40.900106788635469</v>
      </c>
      <c r="E48" s="3">
        <f t="shared" si="1"/>
        <v>709.32782536151899</v>
      </c>
      <c r="F48" s="2">
        <f t="shared" si="7"/>
        <v>0.44136805887016695</v>
      </c>
      <c r="H48" s="8">
        <f t="shared" si="8"/>
        <v>2.6292382802120304</v>
      </c>
      <c r="I48" s="21">
        <f t="shared" si="18"/>
        <v>36</v>
      </c>
      <c r="J48" s="88">
        <f t="shared" si="21"/>
        <v>3060</v>
      </c>
      <c r="K48" s="2">
        <f t="shared" si="10"/>
        <v>20.757734177993729</v>
      </c>
      <c r="L48" s="2">
        <f t="shared" si="20"/>
        <v>176.44074051294669</v>
      </c>
      <c r="M48" s="2">
        <f t="shared" si="12"/>
        <v>1.9040367681253239</v>
      </c>
      <c r="O48" s="92">
        <f t="shared" si="19"/>
        <v>5.4999999999999964</v>
      </c>
      <c r="P48" s="90">
        <f t="shared" si="13"/>
        <v>777.08668322053222</v>
      </c>
      <c r="Q48" s="89">
        <f t="shared" si="14"/>
        <v>5.3858275167683329</v>
      </c>
      <c r="R48" s="84"/>
      <c r="S48" s="84"/>
    </row>
    <row r="49" spans="1:19">
      <c r="A49" s="6"/>
      <c r="B49" s="20">
        <f t="shared" si="17"/>
        <v>7.3999999999999951E-3</v>
      </c>
      <c r="C49" s="8">
        <f t="shared" si="0"/>
        <v>0.75479999999999947</v>
      </c>
      <c r="D49" s="2">
        <f t="shared" si="6"/>
        <v>42.118294449359951</v>
      </c>
      <c r="E49" s="3">
        <f t="shared" si="1"/>
        <v>730.45477274895291</v>
      </c>
      <c r="F49" s="2">
        <f t="shared" si="7"/>
        <v>0.45451396887798506</v>
      </c>
      <c r="H49" s="8">
        <f t="shared" si="8"/>
        <v>2.6866289671729633</v>
      </c>
      <c r="I49" s="21">
        <f t="shared" si="18"/>
        <v>37</v>
      </c>
      <c r="J49" s="88">
        <f t="shared" si="21"/>
        <v>3145</v>
      </c>
      <c r="K49" s="2">
        <f t="shared" si="10"/>
        <v>21.334337905160222</v>
      </c>
      <c r="L49" s="2">
        <f t="shared" si="20"/>
        <v>181.34187219386189</v>
      </c>
      <c r="M49" s="2">
        <f t="shared" si="12"/>
        <v>1.9569266783510273</v>
      </c>
      <c r="O49" s="92">
        <f t="shared" si="19"/>
        <v>5.5999999999999961</v>
      </c>
      <c r="P49" s="90">
        <f t="shared" si="13"/>
        <v>791.74673079503987</v>
      </c>
      <c r="Q49" s="89">
        <f t="shared" si="14"/>
        <v>5.544029469011222</v>
      </c>
      <c r="R49" s="84"/>
      <c r="S49" s="84"/>
    </row>
    <row r="50" spans="1:19">
      <c r="A50" s="6"/>
      <c r="B50" s="20">
        <f t="shared" si="17"/>
        <v>7.5999999999999948E-3</v>
      </c>
      <c r="C50" s="8">
        <f t="shared" si="0"/>
        <v>0.77519999999999933</v>
      </c>
      <c r="D50" s="2">
        <f t="shared" si="6"/>
        <v>43.34113554589436</v>
      </c>
      <c r="E50" s="3">
        <f t="shared" si="1"/>
        <v>751.6624243634094</v>
      </c>
      <c r="F50" s="2">
        <f t="shared" si="7"/>
        <v>0.46771009581900391</v>
      </c>
      <c r="H50" s="8">
        <f t="shared" si="8"/>
        <v>2.7434105393022783</v>
      </c>
      <c r="I50" s="21">
        <f t="shared" si="18"/>
        <v>38</v>
      </c>
      <c r="J50" s="88">
        <f t="shared" si="21"/>
        <v>3230</v>
      </c>
      <c r="K50" s="2">
        <f t="shared" si="10"/>
        <v>21.910941632326715</v>
      </c>
      <c r="L50" s="2">
        <f t="shared" si="20"/>
        <v>186.24300387477706</v>
      </c>
      <c r="M50" s="2">
        <f t="shared" si="12"/>
        <v>2.0098165885767307</v>
      </c>
      <c r="O50" s="92">
        <f t="shared" si="19"/>
        <v>5.6999999999999957</v>
      </c>
      <c r="P50" s="90">
        <f t="shared" si="13"/>
        <v>806.68334596429293</v>
      </c>
      <c r="Q50" s="89">
        <f t="shared" si="14"/>
        <v>5.7052159636434485</v>
      </c>
      <c r="R50" s="84"/>
      <c r="S50" s="84"/>
    </row>
    <row r="51" spans="1:19">
      <c r="A51" s="6"/>
      <c r="B51" s="20">
        <f t="shared" si="17"/>
        <v>7.7999999999999944E-3</v>
      </c>
      <c r="C51" s="8">
        <f t="shared" si="0"/>
        <v>0.79559999999999942</v>
      </c>
      <c r="D51" s="2">
        <f t="shared" si="6"/>
        <v>44.568647854206745</v>
      </c>
      <c r="E51" s="3">
        <f t="shared" si="1"/>
        <v>772.95108849231724</v>
      </c>
      <c r="F51" s="2">
        <f t="shared" si="7"/>
        <v>0.48095663152021667</v>
      </c>
      <c r="H51" s="8">
        <f t="shared" si="8"/>
        <v>2.7995957905846653</v>
      </c>
      <c r="I51" s="21">
        <f t="shared" si="18"/>
        <v>39</v>
      </c>
      <c r="J51" s="88">
        <f t="shared" si="21"/>
        <v>3315</v>
      </c>
      <c r="K51" s="2">
        <f t="shared" si="10"/>
        <v>22.487545359493208</v>
      </c>
      <c r="L51" s="2">
        <f t="shared" si="20"/>
        <v>191.14413555569226</v>
      </c>
      <c r="M51" s="2">
        <f t="shared" si="12"/>
        <v>2.0627064988024344</v>
      </c>
      <c r="O51" s="92">
        <f t="shared" si="19"/>
        <v>5.7999999999999954</v>
      </c>
      <c r="P51" s="90">
        <f t="shared" si="13"/>
        <v>821.9017462853335</v>
      </c>
      <c r="Q51" s="89">
        <f t="shared" si="14"/>
        <v>5.8694433052374118</v>
      </c>
      <c r="R51" s="84"/>
      <c r="S51" s="84"/>
    </row>
    <row r="52" spans="1:19">
      <c r="A52" s="6"/>
      <c r="B52" s="20">
        <f t="shared" si="17"/>
        <v>7.999999999999995E-3</v>
      </c>
      <c r="C52" s="8">
        <f t="shared" si="0"/>
        <v>0.8159999999999995</v>
      </c>
      <c r="D52" s="2">
        <f t="shared" si="6"/>
        <v>45.800849218168707</v>
      </c>
      <c r="E52" s="3">
        <f t="shared" si="1"/>
        <v>794.3210746007519</v>
      </c>
      <c r="F52" s="2">
        <f t="shared" si="7"/>
        <v>0.49425376854138892</v>
      </c>
      <c r="H52" s="8">
        <f t="shared" si="8"/>
        <v>2.8551971160989491</v>
      </c>
      <c r="I52" s="21">
        <f t="shared" si="18"/>
        <v>40</v>
      </c>
      <c r="J52" s="88">
        <f t="shared" si="21"/>
        <v>3400</v>
      </c>
      <c r="K52" s="2">
        <f t="shared" si="10"/>
        <v>23.0641490866597</v>
      </c>
      <c r="L52" s="2">
        <f t="shared" si="20"/>
        <v>196.04526723660743</v>
      </c>
      <c r="M52" s="2">
        <f t="shared" si="12"/>
        <v>2.1155964090281376</v>
      </c>
      <c r="O52" s="92">
        <f t="shared" si="19"/>
        <v>5.899999999999995</v>
      </c>
      <c r="P52" s="90">
        <f t="shared" si="13"/>
        <v>837.40724774648072</v>
      </c>
      <c r="Q52" s="89">
        <f t="shared" si="14"/>
        <v>6.0367688605735337</v>
      </c>
      <c r="R52" s="84"/>
      <c r="S52" s="84"/>
    </row>
    <row r="53" spans="1:19">
      <c r="A53" s="6"/>
      <c r="B53" s="20">
        <f t="shared" si="17"/>
        <v>8.1999999999999955E-3</v>
      </c>
      <c r="C53" s="8">
        <f t="shared" si="0"/>
        <v>0.83639999999999948</v>
      </c>
      <c r="D53" s="2">
        <f t="shared" si="6"/>
        <v>47.037757549814785</v>
      </c>
      <c r="E53" s="3">
        <f t="shared" si="1"/>
        <v>815.77269333593438</v>
      </c>
      <c r="F53" s="2">
        <f t="shared" si="7"/>
        <v>0.50760170017785744</v>
      </c>
      <c r="H53" s="8">
        <f t="shared" si="8"/>
        <v>2.9102265284310636</v>
      </c>
      <c r="I53" s="21">
        <f t="shared" si="18"/>
        <v>41</v>
      </c>
      <c r="J53" s="88">
        <f t="shared" si="21"/>
        <v>3485</v>
      </c>
      <c r="K53" s="2">
        <f t="shared" si="10"/>
        <v>23.640752813826193</v>
      </c>
      <c r="L53" s="2">
        <f t="shared" si="20"/>
        <v>200.94639891752263</v>
      </c>
      <c r="M53" s="2">
        <f t="shared" si="12"/>
        <v>2.1684863192538413</v>
      </c>
      <c r="O53" s="92">
        <f t="shared" si="19"/>
        <v>5.9999999999999947</v>
      </c>
      <c r="P53" s="90">
        <f t="shared" si="13"/>
        <v>853.20526662427574</v>
      </c>
      <c r="Q53" s="89">
        <f t="shared" si="14"/>
        <v>6.207251078679235</v>
      </c>
      <c r="R53" s="84"/>
      <c r="S53" s="84"/>
    </row>
    <row r="54" spans="1:19">
      <c r="A54" s="6"/>
      <c r="B54" s="20">
        <f t="shared" si="17"/>
        <v>8.399999999999996E-3</v>
      </c>
      <c r="C54" s="8">
        <f t="shared" si="0"/>
        <v>0.85679999999999956</v>
      </c>
      <c r="D54" s="2">
        <f t="shared" si="6"/>
        <v>48.279390829602846</v>
      </c>
      <c r="E54" s="3">
        <f t="shared" si="1"/>
        <v>837.30625653174673</v>
      </c>
      <c r="F54" s="2">
        <f t="shared" si="7"/>
        <v>0.52100062046334006</v>
      </c>
      <c r="H54" s="8">
        <f t="shared" si="8"/>
        <v>2.9646956732514704</v>
      </c>
      <c r="I54" s="21">
        <f t="shared" si="18"/>
        <v>42</v>
      </c>
      <c r="J54" s="88">
        <f t="shared" si="21"/>
        <v>3570</v>
      </c>
      <c r="K54" s="2">
        <f t="shared" si="10"/>
        <v>24.217356540992686</v>
      </c>
      <c r="L54" s="2">
        <f t="shared" si="20"/>
        <v>205.84753059843783</v>
      </c>
      <c r="M54" s="2">
        <f t="shared" si="12"/>
        <v>2.2213762294795449</v>
      </c>
      <c r="R54" s="84"/>
      <c r="S54" s="84"/>
    </row>
    <row r="55" spans="1:19">
      <c r="A55" s="6"/>
      <c r="B55" s="20">
        <f t="shared" si="17"/>
        <v>8.5999999999999965E-3</v>
      </c>
      <c r="C55" s="8">
        <f t="shared" si="0"/>
        <v>0.87719999999999965</v>
      </c>
      <c r="D55" s="2">
        <f t="shared" si="6"/>
        <v>49.525767106675573</v>
      </c>
      <c r="E55" s="3">
        <f t="shared" si="1"/>
        <v>858.92207721326724</v>
      </c>
      <c r="F55" s="2">
        <f t="shared" si="7"/>
        <v>0.53445072417275796</v>
      </c>
      <c r="H55" s="8">
        <f t="shared" si="8"/>
        <v>3.0186158441075528</v>
      </c>
      <c r="I55" s="21">
        <f t="shared" si="18"/>
        <v>43</v>
      </c>
      <c r="J55" s="88">
        <f t="shared" si="21"/>
        <v>3655</v>
      </c>
      <c r="K55" s="2">
        <f t="shared" si="10"/>
        <v>24.793960268159175</v>
      </c>
      <c r="L55" s="2">
        <f t="shared" si="20"/>
        <v>210.748662279353</v>
      </c>
      <c r="M55" s="2">
        <f t="shared" si="12"/>
        <v>2.2742661397052482</v>
      </c>
      <c r="P55" s="84"/>
      <c r="Q55" s="84"/>
      <c r="R55" s="84"/>
      <c r="S55" s="84"/>
    </row>
    <row r="56" spans="1:19">
      <c r="A56" s="6"/>
      <c r="B56" s="20">
        <f t="shared" si="17"/>
        <v>8.7999999999999971E-3</v>
      </c>
      <c r="C56" s="8">
        <f t="shared" si="0"/>
        <v>0.89759999999999962</v>
      </c>
      <c r="D56" s="2">
        <f t="shared" si="6"/>
        <v>50.776904499122736</v>
      </c>
      <c r="E56" s="3">
        <f t="shared" si="1"/>
        <v>880.62046960131886</v>
      </c>
      <c r="F56" s="2">
        <f t="shared" si="7"/>
        <v>0.54795220682506551</v>
      </c>
      <c r="H56" s="8">
        <f t="shared" si="8"/>
        <v>3.071997996478002</v>
      </c>
      <c r="I56" s="21">
        <f t="shared" si="18"/>
        <v>44</v>
      </c>
      <c r="J56" s="88">
        <f t="shared" si="21"/>
        <v>3740</v>
      </c>
      <c r="K56" s="2">
        <f t="shared" si="10"/>
        <v>25.370563995325668</v>
      </c>
      <c r="L56" s="2">
        <f t="shared" si="20"/>
        <v>215.6497939602682</v>
      </c>
      <c r="M56" s="2">
        <f t="shared" si="12"/>
        <v>2.3271560499309518</v>
      </c>
      <c r="P56" s="84"/>
      <c r="Q56" s="84"/>
      <c r="R56" s="84"/>
      <c r="S56" s="84"/>
    </row>
    <row r="57" spans="1:19">
      <c r="A57" s="6"/>
      <c r="B57" s="20">
        <f t="shared" si="17"/>
        <v>8.9999999999999976E-3</v>
      </c>
      <c r="C57" s="8">
        <f t="shared" si="0"/>
        <v>0.91799999999999971</v>
      </c>
      <c r="D57" s="2">
        <f t="shared" si="6"/>
        <v>52.032821194244718</v>
      </c>
      <c r="E57" s="3">
        <f t="shared" si="1"/>
        <v>902.4017491170398</v>
      </c>
      <c r="F57" s="2">
        <f t="shared" si="7"/>
        <v>0.56150526468609407</v>
      </c>
      <c r="H57" s="8">
        <f t="shared" si="8"/>
        <v>3.1248527611329062</v>
      </c>
      <c r="I57" s="21">
        <f t="shared" si="18"/>
        <v>45</v>
      </c>
      <c r="J57" s="88">
        <f t="shared" si="21"/>
        <v>3825</v>
      </c>
      <c r="K57" s="2">
        <f t="shared" si="10"/>
        <v>25.947167722492161</v>
      </c>
      <c r="L57" s="2">
        <f t="shared" si="20"/>
        <v>220.55092564118337</v>
      </c>
      <c r="M57" s="2">
        <f t="shared" si="12"/>
        <v>2.3800459601566555</v>
      </c>
      <c r="P57" s="84"/>
      <c r="Q57" s="84"/>
      <c r="R57" s="84"/>
      <c r="S57" s="84"/>
    </row>
    <row r="58" spans="1:19">
      <c r="B58" s="20">
        <f t="shared" si="17"/>
        <v>9.1999999999999981E-3</v>
      </c>
      <c r="C58" s="8">
        <f t="shared" si="0"/>
        <v>0.93839999999999979</v>
      </c>
      <c r="D58" s="2">
        <f t="shared" si="6"/>
        <v>53.293535448816556</v>
      </c>
      <c r="E58" s="3">
        <f t="shared" si="1"/>
        <v>924.26623238646221</v>
      </c>
      <c r="F58" s="2">
        <f t="shared" si="7"/>
        <v>0.57511009477140174</v>
      </c>
      <c r="H58" s="8">
        <f t="shared" si="8"/>
        <v>3.1771904568403464</v>
      </c>
      <c r="I58" s="21">
        <f t="shared" si="18"/>
        <v>46</v>
      </c>
      <c r="J58" s="88">
        <f t="shared" si="21"/>
        <v>3910</v>
      </c>
      <c r="K58" s="2">
        <f t="shared" si="10"/>
        <v>26.523771449658653</v>
      </c>
      <c r="L58" s="2">
        <f t="shared" si="20"/>
        <v>225.45205732209857</v>
      </c>
      <c r="M58" s="2">
        <f t="shared" si="12"/>
        <v>2.4329358703823587</v>
      </c>
      <c r="P58" s="84"/>
      <c r="Q58" s="84"/>
      <c r="R58" s="84"/>
      <c r="S58" s="84"/>
    </row>
    <row r="59" spans="1:19">
      <c r="B59" s="20">
        <f t="shared" si="17"/>
        <v>9.3999999999999986E-3</v>
      </c>
      <c r="C59" s="8">
        <f t="shared" si="0"/>
        <v>0.95879999999999976</v>
      </c>
      <c r="D59" s="2">
        <f t="shared" si="6"/>
        <v>54.559065589353622</v>
      </c>
      <c r="E59" s="3">
        <f t="shared" si="1"/>
        <v>946.21423724512044</v>
      </c>
      <c r="F59" s="2">
        <f t="shared" si="7"/>
        <v>0.5887668948491398</v>
      </c>
      <c r="H59" s="8">
        <f t="shared" si="8"/>
        <v>3.2290211024574438</v>
      </c>
      <c r="I59" s="21">
        <f t="shared" si="18"/>
        <v>47</v>
      </c>
      <c r="J59" s="88">
        <f t="shared" si="21"/>
        <v>3995</v>
      </c>
      <c r="K59" s="2">
        <f t="shared" si="10"/>
        <v>27.100375176825146</v>
      </c>
      <c r="L59" s="2">
        <f t="shared" si="20"/>
        <v>230.35318900301374</v>
      </c>
      <c r="M59" s="2">
        <f t="shared" si="12"/>
        <v>2.4858257806080619</v>
      </c>
      <c r="P59" s="84"/>
      <c r="Q59" s="84"/>
      <c r="R59" s="84"/>
      <c r="S59" s="84"/>
    </row>
    <row r="60" spans="1:19">
      <c r="B60" s="20">
        <f t="shared" si="17"/>
        <v>9.5999999999999992E-3</v>
      </c>
      <c r="C60" s="8">
        <f t="shared" si="0"/>
        <v>0.97919999999999985</v>
      </c>
      <c r="D60" s="2">
        <f t="shared" si="6"/>
        <v>55.829430012378168</v>
      </c>
      <c r="E60" s="3">
        <f t="shared" si="1"/>
        <v>968.24608274267359</v>
      </c>
      <c r="F60" s="2">
        <f t="shared" si="7"/>
        <v>0.60247586344292992</v>
      </c>
      <c r="H60" s="8">
        <f t="shared" si="8"/>
        <v>3.2803544284413193</v>
      </c>
      <c r="I60" s="21">
        <f t="shared" si="18"/>
        <v>48</v>
      </c>
      <c r="J60" s="88">
        <f t="shared" si="21"/>
        <v>4080</v>
      </c>
      <c r="K60" s="2">
        <f t="shared" si="10"/>
        <v>27.676978903991639</v>
      </c>
      <c r="L60" s="2">
        <f t="shared" si="20"/>
        <v>235.25432068392894</v>
      </c>
      <c r="M60" s="2">
        <f t="shared" si="12"/>
        <v>2.5387156908337656</v>
      </c>
      <c r="P60" s="84"/>
      <c r="Q60" s="84"/>
      <c r="R60" s="84"/>
      <c r="S60" s="84"/>
    </row>
    <row r="61" spans="1:19">
      <c r="B61" s="20">
        <f t="shared" si="17"/>
        <v>9.7999999999999997E-3</v>
      </c>
      <c r="C61" s="8">
        <f t="shared" si="0"/>
        <v>0.99959999999999993</v>
      </c>
      <c r="D61" s="2">
        <f t="shared" si="6"/>
        <v>57.104647184686257</v>
      </c>
      <c r="E61" s="3">
        <f t="shared" si="1"/>
        <v>990.36208914753468</v>
      </c>
      <c r="F61" s="2">
        <f t="shared" si="7"/>
        <v>0.61623719983474379</v>
      </c>
      <c r="H61" s="8">
        <f t="shared" si="8"/>
        <v>3.3311998878130504</v>
      </c>
      <c r="I61" s="21">
        <f t="shared" si="18"/>
        <v>49</v>
      </c>
      <c r="J61" s="88">
        <f t="shared" si="21"/>
        <v>4165</v>
      </c>
      <c r="K61" s="2">
        <f t="shared" si="10"/>
        <v>28.253582631158132</v>
      </c>
      <c r="L61" s="2">
        <f t="shared" si="20"/>
        <v>240.15545236484411</v>
      </c>
      <c r="M61" s="2">
        <f t="shared" si="12"/>
        <v>2.5916056010594688</v>
      </c>
      <c r="P61" s="84"/>
      <c r="Q61" s="84"/>
      <c r="R61" s="84"/>
      <c r="S61" s="84"/>
    </row>
    <row r="62" spans="1:19">
      <c r="B62" s="20">
        <f t="shared" si="17"/>
        <v>0.01</v>
      </c>
      <c r="C62" s="8">
        <f t="shared" si="0"/>
        <v>1.02</v>
      </c>
      <c r="D62" s="2">
        <f t="shared" si="6"/>
        <v>58.384735643616693</v>
      </c>
      <c r="E62" s="3">
        <f t="shared" si="1"/>
        <v>1012.5625779515346</v>
      </c>
      <c r="F62" s="2">
        <f t="shared" si="7"/>
        <v>0.63005110406780607</v>
      </c>
      <c r="H62" s="8">
        <f t="shared" si="8"/>
        <v>3.381566666605504</v>
      </c>
      <c r="I62" s="21">
        <f t="shared" si="18"/>
        <v>50</v>
      </c>
      <c r="J62" s="88">
        <f t="shared" si="21"/>
        <v>4250</v>
      </c>
      <c r="K62" s="2">
        <f t="shared" si="10"/>
        <v>28.830186358324625</v>
      </c>
      <c r="L62" s="2">
        <f t="shared" si="20"/>
        <v>245.05658404575931</v>
      </c>
      <c r="M62" s="2">
        <f t="shared" si="12"/>
        <v>2.6444955112851725</v>
      </c>
      <c r="P62" s="84"/>
      <c r="Q62" s="84"/>
      <c r="R62" s="84"/>
      <c r="S62" s="84"/>
    </row>
    <row r="63" spans="1:19">
      <c r="A63" s="12"/>
      <c r="B63" s="20">
        <f t="shared" si="17"/>
        <v>1.0200000000000001E-2</v>
      </c>
      <c r="C63" s="8">
        <f t="shared" si="0"/>
        <v>1.0404</v>
      </c>
      <c r="D63" s="2">
        <f t="shared" si="6"/>
        <v>59.669713997320173</v>
      </c>
      <c r="E63" s="3">
        <f t="shared" si="1"/>
        <v>1034.8478718745905</v>
      </c>
      <c r="F63" s="2">
        <f t="shared" si="7"/>
        <v>0.64391777694949826</v>
      </c>
      <c r="H63" s="8">
        <f t="shared" si="8"/>
        <v>3.4314636938239422</v>
      </c>
      <c r="I63" s="21">
        <f t="shared" si="18"/>
        <v>51</v>
      </c>
      <c r="J63" s="88">
        <f t="shared" si="21"/>
        <v>4335</v>
      </c>
      <c r="K63" s="2">
        <f t="shared" si="10"/>
        <v>29.406790085491117</v>
      </c>
      <c r="L63" s="2">
        <f t="shared" si="20"/>
        <v>249.95771572667448</v>
      </c>
      <c r="M63" s="2">
        <f t="shared" si="12"/>
        <v>2.6973854215108757</v>
      </c>
      <c r="P63" s="84"/>
      <c r="Q63" s="84"/>
      <c r="R63" s="84"/>
      <c r="S63" s="84"/>
    </row>
    <row r="64" spans="1:19">
      <c r="A64" s="12"/>
      <c r="B64" s="20">
        <f t="shared" si="17"/>
        <v>1.0400000000000001E-2</v>
      </c>
      <c r="C64" s="8">
        <f t="shared" si="0"/>
        <v>1.0608000000000002</v>
      </c>
      <c r="D64" s="2">
        <f t="shared" si="6"/>
        <v>60.959600925029861</v>
      </c>
      <c r="E64" s="3">
        <f t="shared" si="1"/>
        <v>1057.2182948693978</v>
      </c>
      <c r="F64" s="2">
        <f t="shared" si="7"/>
        <v>0.65783742005427903</v>
      </c>
      <c r="H64" s="8">
        <f t="shared" si="8"/>
        <v>3.4808996509464234</v>
      </c>
      <c r="I64" s="21">
        <f t="shared" si="18"/>
        <v>52</v>
      </c>
      <c r="J64" s="88">
        <f t="shared" si="21"/>
        <v>4420</v>
      </c>
      <c r="K64" s="2">
        <f t="shared" si="10"/>
        <v>29.98339381265761</v>
      </c>
      <c r="L64" s="2">
        <f t="shared" si="20"/>
        <v>254.85884740758968</v>
      </c>
      <c r="M64" s="2">
        <f t="shared" si="12"/>
        <v>2.7502753317365793</v>
      </c>
      <c r="P64" s="84"/>
      <c r="Q64" s="84"/>
      <c r="R64" s="84"/>
      <c r="S64" s="84"/>
    </row>
    <row r="65" spans="1:13">
      <c r="A65" s="12"/>
      <c r="B65" s="20">
        <f t="shared" si="17"/>
        <v>1.0600000000000002E-2</v>
      </c>
      <c r="C65" s="8">
        <f t="shared" si="0"/>
        <v>1.0812000000000002</v>
      </c>
      <c r="D65" s="2">
        <f t="shared" si="6"/>
        <v>62.254415177333101</v>
      </c>
      <c r="E65" s="3">
        <f t="shared" si="1"/>
        <v>1079.6741721261426</v>
      </c>
      <c r="F65" s="2">
        <f t="shared" si="7"/>
        <v>0.67181023572661624</v>
      </c>
      <c r="H65" s="8">
        <f t="shared" si="8"/>
        <v>3.529882980989254</v>
      </c>
      <c r="I65" s="21">
        <f t="shared" si="18"/>
        <v>53</v>
      </c>
      <c r="J65" s="88">
        <f t="shared" si="21"/>
        <v>4505</v>
      </c>
      <c r="K65" s="2">
        <f t="shared" si="10"/>
        <v>30.559997539824103</v>
      </c>
      <c r="L65" s="2">
        <f t="shared" si="20"/>
        <v>259.75997908850485</v>
      </c>
      <c r="M65" s="2">
        <f t="shared" si="12"/>
        <v>2.8031652419622826</v>
      </c>
    </row>
    <row r="66" spans="1:13">
      <c r="A66" s="12"/>
      <c r="B66" s="20">
        <f t="shared" si="17"/>
        <v>1.0800000000000002E-2</v>
      </c>
      <c r="C66" s="8">
        <f t="shared" si="0"/>
        <v>1.1016000000000001</v>
      </c>
      <c r="D66" s="2">
        <f t="shared" si="6"/>
        <v>63.554175576443868</v>
      </c>
      <c r="E66" s="3">
        <f t="shared" si="1"/>
        <v>1102.2158300772273</v>
      </c>
      <c r="F66" s="2">
        <f t="shared" si="7"/>
        <v>0.68583642708392667</v>
      </c>
      <c r="H66" s="8">
        <f t="shared" si="8"/>
        <v>3.5784218971612001</v>
      </c>
      <c r="I66" s="21">
        <f t="shared" si="18"/>
        <v>54</v>
      </c>
      <c r="J66" s="88">
        <f t="shared" si="21"/>
        <v>4590</v>
      </c>
      <c r="K66" s="2">
        <f t="shared" si="10"/>
        <v>31.136601266990596</v>
      </c>
      <c r="L66" s="2">
        <f t="shared" si="20"/>
        <v>264.66111076942002</v>
      </c>
      <c r="M66" s="2">
        <f t="shared" si="12"/>
        <v>2.8560551521879858</v>
      </c>
    </row>
    <row r="67" spans="1:13">
      <c r="A67" s="12"/>
      <c r="B67" s="20">
        <f t="shared" si="17"/>
        <v>1.1000000000000003E-2</v>
      </c>
      <c r="C67" s="8">
        <f t="shared" si="0"/>
        <v>1.1220000000000003</v>
      </c>
      <c r="D67" s="2">
        <f t="shared" si="6"/>
        <v>64.858901016476125</v>
      </c>
      <c r="E67" s="3">
        <f t="shared" si="1"/>
        <v>1124.8435964020109</v>
      </c>
      <c r="F67" s="2">
        <f t="shared" si="7"/>
        <v>0.69991619801952654</v>
      </c>
      <c r="H67" s="8">
        <f t="shared" si="8"/>
        <v>3.6265243911286236</v>
      </c>
      <c r="I67" s="21">
        <f t="shared" si="18"/>
        <v>55</v>
      </c>
      <c r="J67" s="88">
        <f t="shared" si="21"/>
        <v>4675</v>
      </c>
      <c r="K67" s="2">
        <f t="shared" si="10"/>
        <v>31.713204994157085</v>
      </c>
      <c r="L67" s="2">
        <f t="shared" si="20"/>
        <v>269.56224245033525</v>
      </c>
      <c r="M67" s="2">
        <f t="shared" si="12"/>
        <v>2.9089450624136899</v>
      </c>
    </row>
    <row r="68" spans="1:13">
      <c r="A68" s="12"/>
      <c r="B68" s="20">
        <f t="shared" si="17"/>
        <v>1.1200000000000003E-2</v>
      </c>
      <c r="C68" s="8">
        <f t="shared" si="0"/>
        <v>1.1424000000000003</v>
      </c>
      <c r="D68" s="2">
        <f t="shared" si="6"/>
        <v>66.168610463718949</v>
      </c>
      <c r="E68" s="3">
        <f t="shared" si="1"/>
        <v>1147.55780003158</v>
      </c>
      <c r="F68" s="2">
        <f t="shared" si="7"/>
        <v>0.71404975320560016</v>
      </c>
      <c r="H68" s="8">
        <f t="shared" si="8"/>
        <v>3.6741982409123488</v>
      </c>
      <c r="I68" s="21">
        <f t="shared" si="18"/>
        <v>56</v>
      </c>
      <c r="J68" s="88">
        <f t="shared" si="21"/>
        <v>4760</v>
      </c>
      <c r="K68" s="2">
        <f t="shared" si="10"/>
        <v>32.289808721323581</v>
      </c>
      <c r="L68" s="2">
        <f t="shared" si="20"/>
        <v>274.46337413125042</v>
      </c>
      <c r="M68" s="2">
        <f t="shared" si="12"/>
        <v>2.9618349726393927</v>
      </c>
    </row>
    <row r="69" spans="1:13">
      <c r="A69" s="12"/>
      <c r="B69" s="20">
        <f t="shared" si="17"/>
        <v>1.1400000000000004E-2</v>
      </c>
      <c r="C69" s="8">
        <f t="shared" si="0"/>
        <v>1.1628000000000003</v>
      </c>
      <c r="D69" s="2">
        <f t="shared" si="6"/>
        <v>67.483322956911877</v>
      </c>
      <c r="E69" s="3">
        <f t="shared" si="1"/>
        <v>1170.3587711535254</v>
      </c>
      <c r="F69" s="2">
        <f t="shared" si="7"/>
        <v>0.72823729809617133</v>
      </c>
      <c r="H69" s="8">
        <f t="shared" si="8"/>
        <v>3.7214510184357907</v>
      </c>
      <c r="I69" s="21">
        <f t="shared" si="18"/>
        <v>57</v>
      </c>
      <c r="J69" s="88">
        <f t="shared" si="21"/>
        <v>4845</v>
      </c>
      <c r="K69" s="2">
        <f t="shared" si="10"/>
        <v>32.866412448490074</v>
      </c>
      <c r="L69" s="2">
        <f t="shared" si="20"/>
        <v>279.36450581216559</v>
      </c>
      <c r="M69" s="2">
        <f t="shared" si="12"/>
        <v>3.0147248828650963</v>
      </c>
    </row>
    <row r="70" spans="1:13">
      <c r="A70" s="12"/>
      <c r="B70" s="20">
        <f t="shared" si="17"/>
        <v>1.1600000000000004E-2</v>
      </c>
      <c r="C70" s="8">
        <f t="shared" si="0"/>
        <v>1.1832000000000005</v>
      </c>
      <c r="D70" s="2">
        <f t="shared" si="6"/>
        <v>68.803057607521907</v>
      </c>
      <c r="E70" s="3">
        <f t="shared" si="1"/>
        <v>1193.2468412167452</v>
      </c>
      <c r="F70" s="2">
        <f t="shared" si="7"/>
        <v>0.74247903893009248</v>
      </c>
      <c r="H70" s="8">
        <f t="shared" si="8"/>
        <v>3.7682900967426449</v>
      </c>
      <c r="I70" s="21">
        <f t="shared" si="18"/>
        <v>58</v>
      </c>
      <c r="J70" s="88">
        <f t="shared" si="21"/>
        <v>4930</v>
      </c>
      <c r="K70" s="2">
        <f t="shared" si="10"/>
        <v>33.443016175656567</v>
      </c>
      <c r="L70" s="2">
        <f t="shared" si="20"/>
        <v>284.26563749308082</v>
      </c>
      <c r="M70" s="2">
        <f t="shared" si="12"/>
        <v>3.0676147930908</v>
      </c>
    </row>
    <row r="71" spans="1:13">
      <c r="A71" s="13"/>
      <c r="B71" s="20">
        <f t="shared" si="17"/>
        <v>1.1800000000000005E-2</v>
      </c>
      <c r="C71" s="8">
        <f t="shared" si="0"/>
        <v>1.2036000000000004</v>
      </c>
      <c r="D71" s="2">
        <f t="shared" si="6"/>
        <v>70.127833600021063</v>
      </c>
      <c r="E71" s="3">
        <f t="shared" si="1"/>
        <v>1216.2223429362584</v>
      </c>
      <c r="F71" s="2">
        <f t="shared" si="7"/>
        <v>0.75677518273404021</v>
      </c>
      <c r="H71" s="8">
        <f t="shared" si="8"/>
        <v>3.8147226569013619</v>
      </c>
      <c r="I71" s="21">
        <f t="shared" si="18"/>
        <v>59</v>
      </c>
      <c r="J71" s="88">
        <f t="shared" si="21"/>
        <v>5015</v>
      </c>
      <c r="K71" s="2">
        <f t="shared" si="10"/>
        <v>34.019619902823059</v>
      </c>
      <c r="L71" s="2">
        <f t="shared" si="20"/>
        <v>289.16676917399599</v>
      </c>
      <c r="M71" s="2">
        <f t="shared" si="12"/>
        <v>3.1205047033165032</v>
      </c>
    </row>
    <row r="72" spans="1:13">
      <c r="A72" s="13"/>
      <c r="B72" s="20">
        <f t="shared" si="17"/>
        <v>1.2000000000000005E-2</v>
      </c>
      <c r="C72" s="8">
        <f t="shared" si="0"/>
        <v>1.2240000000000006</v>
      </c>
      <c r="D72" s="2">
        <f t="shared" si="6"/>
        <v>71.457670192165438</v>
      </c>
      <c r="E72" s="3">
        <f t="shared" si="1"/>
        <v>1239.2856102980456</v>
      </c>
      <c r="F72" s="2">
        <f t="shared" si="7"/>
        <v>0.77112593732552626</v>
      </c>
      <c r="H72" s="8">
        <f t="shared" si="8"/>
        <v>3.8607556946125641</v>
      </c>
      <c r="I72" s="21">
        <f t="shared" si="18"/>
        <v>60</v>
      </c>
      <c r="J72" s="88">
        <f t="shared" si="21"/>
        <v>5100</v>
      </c>
      <c r="K72" s="2">
        <f t="shared" si="10"/>
        <v>34.596223629989552</v>
      </c>
      <c r="L72" s="2">
        <f t="shared" si="20"/>
        <v>294.06790085491116</v>
      </c>
      <c r="M72" s="2">
        <f t="shared" si="12"/>
        <v>3.1733946135422069</v>
      </c>
    </row>
    <row r="73" spans="1:13">
      <c r="A73" s="13"/>
      <c r="B73" s="20">
        <f t="shared" si="17"/>
        <v>1.2200000000000006E-2</v>
      </c>
      <c r="C73" s="8">
        <f t="shared" si="0"/>
        <v>1.2444000000000006</v>
      </c>
      <c r="D73" s="2">
        <f t="shared" si="6"/>
        <v>72.792586715275206</v>
      </c>
      <c r="E73" s="3">
        <f t="shared" si="1"/>
        <v>1262.4369785639035</v>
      </c>
      <c r="F73" s="2">
        <f t="shared" si="7"/>
        <v>0.78553151131591947</v>
      </c>
      <c r="H73" s="8">
        <f t="shared" si="8"/>
        <v>3.90639602653463</v>
      </c>
      <c r="I73" s="21">
        <f t="shared" si="18"/>
        <v>61</v>
      </c>
      <c r="J73" s="88">
        <f t="shared" si="21"/>
        <v>5185</v>
      </c>
      <c r="K73" s="2">
        <f t="shared" si="10"/>
        <v>35.172827357156038</v>
      </c>
      <c r="L73" s="2">
        <f t="shared" si="20"/>
        <v>298.96903253582633</v>
      </c>
      <c r="M73" s="2">
        <f t="shared" si="12"/>
        <v>3.2262845237679101</v>
      </c>
    </row>
    <row r="74" spans="1:13">
      <c r="A74" s="12"/>
      <c r="B74" s="20">
        <f t="shared" si="17"/>
        <v>1.2400000000000007E-2</v>
      </c>
      <c r="C74" s="8">
        <f t="shared" si="0"/>
        <v>1.2648000000000006</v>
      </c>
      <c r="D74" s="2">
        <f t="shared" si="6"/>
        <v>74.132602574515374</v>
      </c>
      <c r="E74" s="3">
        <f t="shared" si="1"/>
        <v>1285.6767842763149</v>
      </c>
      <c r="F74" s="2">
        <f t="shared" si="7"/>
        <v>0.79999211411347526</v>
      </c>
      <c r="H74" s="8">
        <f t="shared" si="8"/>
        <v>3.9516502963417266</v>
      </c>
      <c r="I74" s="21">
        <f t="shared" si="18"/>
        <v>62</v>
      </c>
      <c r="J74" s="88">
        <f t="shared" si="21"/>
        <v>5270</v>
      </c>
      <c r="K74" s="2">
        <f t="shared" si="10"/>
        <v>35.749431084322531</v>
      </c>
      <c r="L74" s="2">
        <f t="shared" si="20"/>
        <v>303.87016421674156</v>
      </c>
      <c r="M74" s="2">
        <f t="shared" si="12"/>
        <v>3.2791744339936137</v>
      </c>
    </row>
    <row r="75" spans="1:13">
      <c r="A75" s="12"/>
      <c r="B75" s="20">
        <f t="shared" si="17"/>
        <v>1.2600000000000007E-2</v>
      </c>
      <c r="C75" s="8">
        <f t="shared" si="0"/>
        <v>1.2852000000000008</v>
      </c>
      <c r="D75" s="2">
        <f t="shared" si="6"/>
        <v>75.477737249178176</v>
      </c>
      <c r="E75" s="3">
        <f t="shared" si="1"/>
        <v>1309.0053652633469</v>
      </c>
      <c r="F75" s="2">
        <f t="shared" si="7"/>
        <v>0.81450795592638314</v>
      </c>
      <c r="H75" s="8">
        <f t="shared" si="8"/>
        <v>3.9965249805277638</v>
      </c>
      <c r="I75" s="21">
        <f t="shared" si="18"/>
        <v>63</v>
      </c>
      <c r="J75" s="88">
        <f t="shared" si="21"/>
        <v>5355</v>
      </c>
      <c r="K75" s="2">
        <f t="shared" si="10"/>
        <v>36.326034811489023</v>
      </c>
      <c r="L75" s="2">
        <f t="shared" si="20"/>
        <v>308.77129589765673</v>
      </c>
      <c r="M75" s="2">
        <f t="shared" si="12"/>
        <v>3.3320643442193174</v>
      </c>
    </row>
    <row r="76" spans="1:13">
      <c r="A76" s="12"/>
      <c r="B76" s="20">
        <f t="shared" si="17"/>
        <v>1.2800000000000008E-2</v>
      </c>
      <c r="C76" s="8">
        <f t="shared" si="0"/>
        <v>1.3056000000000008</v>
      </c>
      <c r="D76" s="2">
        <f t="shared" si="6"/>
        <v>76.828010292965985</v>
      </c>
      <c r="E76" s="3">
        <f t="shared" si="1"/>
        <v>1332.423060643556</v>
      </c>
      <c r="F76" s="2">
        <f t="shared" si="7"/>
        <v>0.82907924776581998</v>
      </c>
      <c r="H76" s="8">
        <f t="shared" si="8"/>
        <v>4.0410263939689761</v>
      </c>
      <c r="I76" s="21">
        <f t="shared" si="18"/>
        <v>64</v>
      </c>
      <c r="J76" s="88">
        <f t="shared" si="21"/>
        <v>5440</v>
      </c>
      <c r="K76" s="2">
        <f t="shared" si="10"/>
        <v>36.902638538655516</v>
      </c>
      <c r="L76" s="2">
        <f t="shared" si="20"/>
        <v>313.6724275785719</v>
      </c>
      <c r="M76" s="2">
        <f t="shared" si="12"/>
        <v>3.3849542544450206</v>
      </c>
    </row>
    <row r="77" spans="1:13">
      <c r="A77" s="12"/>
      <c r="B77" s="20">
        <f t="shared" si="17"/>
        <v>1.3000000000000008E-2</v>
      </c>
      <c r="C77" s="8">
        <f t="shared" ref="C77:C140" si="22">$B77*((100-$A$9)/100)*$A$4*100</f>
        <v>1.3260000000000007</v>
      </c>
      <c r="D77" s="2">
        <f t="shared" si="6"/>
        <v>78.183441334275756</v>
      </c>
      <c r="E77" s="3">
        <f t="shared" ref="E77:E140" si="23">D77*$A$5</f>
        <v>1355.9302108309221</v>
      </c>
      <c r="F77" s="2">
        <f t="shared" si="7"/>
        <v>0.84370620144901898</v>
      </c>
      <c r="H77" s="8">
        <f t="shared" si="8"/>
        <v>4.0851606952570299</v>
      </c>
      <c r="I77" s="21">
        <f t="shared" si="18"/>
        <v>65</v>
      </c>
      <c r="J77" s="88">
        <f t="shared" si="21"/>
        <v>5525</v>
      </c>
      <c r="K77" s="2">
        <f t="shared" si="10"/>
        <v>37.479242265822009</v>
      </c>
      <c r="L77" s="2">
        <f t="shared" si="20"/>
        <v>318.57355925948707</v>
      </c>
      <c r="M77" s="2">
        <f t="shared" si="12"/>
        <v>3.4378441646707238</v>
      </c>
    </row>
    <row r="78" spans="1:13">
      <c r="A78" s="12"/>
      <c r="B78" s="20">
        <f t="shared" si="17"/>
        <v>1.3200000000000009E-2</v>
      </c>
      <c r="C78" s="8">
        <f t="shared" si="22"/>
        <v>1.3464000000000009</v>
      </c>
      <c r="D78" s="2">
        <f t="shared" ref="D78:D141" si="24">$A$6 * POWER(2.718,(C78+$A$8)/5.35) - $A$7</f>
        <v>79.544050076484098</v>
      </c>
      <c r="E78" s="3">
        <f t="shared" si="23"/>
        <v>1379.5271575397917</v>
      </c>
      <c r="F78" s="2">
        <f t="shared" ref="F78:F141" si="25">$A$10*$D78/$A$7</f>
        <v>0.85838902960234642</v>
      </c>
      <c r="H78" s="8">
        <f t="shared" ref="H78:H112" si="26">5.35*LN(($A$7+L78)/$A$7)</f>
        <v>4.1289338918139658</v>
      </c>
      <c r="I78" s="21">
        <f t="shared" si="18"/>
        <v>66</v>
      </c>
      <c r="J78" s="88">
        <f t="shared" ref="J78:J112" si="27">I78*85</f>
        <v>5610</v>
      </c>
      <c r="K78" s="2">
        <f t="shared" ref="K78:K112" si="28">I78*10/$A$5</f>
        <v>38.055845992988502</v>
      </c>
      <c r="L78" s="2">
        <f t="shared" ref="L78:L112" si="29">I78*85/$A$5</f>
        <v>323.4746909404023</v>
      </c>
      <c r="M78" s="2">
        <f t="shared" ref="M78:M112" si="30">$A$10*$L78/$A$7</f>
        <v>3.4907340748964275</v>
      </c>
    </row>
    <row r="79" spans="1:13">
      <c r="A79" s="12"/>
      <c r="B79" s="20">
        <f t="shared" ref="B79:B142" si="31">B78+0.0002</f>
        <v>1.3400000000000009E-2</v>
      </c>
      <c r="C79" s="8">
        <f t="shared" si="22"/>
        <v>1.3668000000000009</v>
      </c>
      <c r="D79" s="2">
        <f t="shared" si="24"/>
        <v>80.90985629823399</v>
      </c>
      <c r="E79" s="3">
        <f t="shared" si="23"/>
        <v>1403.2142437898519</v>
      </c>
      <c r="F79" s="2">
        <f t="shared" si="25"/>
        <v>0.87312794566439555</v>
      </c>
      <c r="H79" s="8">
        <f t="shared" si="26"/>
        <v>4.1723518447995858</v>
      </c>
      <c r="I79" s="21">
        <f t="shared" ref="I79:I112" si="32">I78+1</f>
        <v>67</v>
      </c>
      <c r="J79" s="88">
        <f t="shared" si="27"/>
        <v>5695</v>
      </c>
      <c r="K79" s="2">
        <f t="shared" si="28"/>
        <v>38.632449720154995</v>
      </c>
      <c r="L79" s="2">
        <f t="shared" si="29"/>
        <v>328.37582262131747</v>
      </c>
      <c r="M79" s="2">
        <f t="shared" si="30"/>
        <v>3.5436239851221312</v>
      </c>
    </row>
    <row r="80" spans="1:13">
      <c r="A80" s="14"/>
      <c r="B80" s="20">
        <f t="shared" si="31"/>
        <v>1.360000000000001E-2</v>
      </c>
      <c r="C80" s="8">
        <f t="shared" si="22"/>
        <v>1.3872000000000009</v>
      </c>
      <c r="D80" s="2">
        <f t="shared" si="24"/>
        <v>82.280879853722126</v>
      </c>
      <c r="E80" s="3">
        <f t="shared" si="23"/>
        <v>1426.9918139111123</v>
      </c>
      <c r="F80" s="2">
        <f t="shared" si="25"/>
        <v>0.88792316388908765</v>
      </c>
      <c r="H80" s="8">
        <f t="shared" si="26"/>
        <v>4.2154202738212945</v>
      </c>
      <c r="I80" s="21">
        <f t="shared" si="32"/>
        <v>68</v>
      </c>
      <c r="J80" s="88">
        <f t="shared" si="27"/>
        <v>5780</v>
      </c>
      <c r="K80" s="2">
        <f t="shared" si="28"/>
        <v>39.209053447321487</v>
      </c>
      <c r="L80" s="2">
        <f t="shared" si="29"/>
        <v>333.27695430223264</v>
      </c>
      <c r="M80" s="2">
        <f t="shared" si="30"/>
        <v>3.5965138953478344</v>
      </c>
    </row>
    <row r="81" spans="1:13">
      <c r="A81" s="14"/>
      <c r="B81" s="20">
        <f t="shared" si="31"/>
        <v>1.380000000000001E-2</v>
      </c>
      <c r="C81" s="8">
        <f t="shared" si="22"/>
        <v>1.4076000000000011</v>
      </c>
      <c r="D81" s="2">
        <f t="shared" si="24"/>
        <v>83.657140672987509</v>
      </c>
      <c r="E81" s="3">
        <f t="shared" si="23"/>
        <v>1450.8602135489107</v>
      </c>
      <c r="F81" s="2">
        <f t="shared" si="25"/>
        <v>0.90277489934878608</v>
      </c>
      <c r="H81" s="8">
        <f t="shared" si="26"/>
        <v>4.2581447614558883</v>
      </c>
      <c r="I81" s="21">
        <f t="shared" si="32"/>
        <v>69</v>
      </c>
      <c r="J81" s="88">
        <f t="shared" si="27"/>
        <v>5865</v>
      </c>
      <c r="K81" s="2">
        <f t="shared" si="28"/>
        <v>39.78565717448798</v>
      </c>
      <c r="L81" s="2">
        <f t="shared" si="29"/>
        <v>338.17808598314787</v>
      </c>
      <c r="M81" s="2">
        <f t="shared" si="30"/>
        <v>3.6494038055735381</v>
      </c>
    </row>
    <row r="82" spans="1:13">
      <c r="A82" s="14"/>
      <c r="B82" s="20">
        <f t="shared" si="31"/>
        <v>1.4000000000000011E-2</v>
      </c>
      <c r="C82" s="8">
        <f t="shared" si="22"/>
        <v>1.428000000000001</v>
      </c>
      <c r="D82" s="2">
        <f t="shared" si="24"/>
        <v>85.038658762201294</v>
      </c>
      <c r="E82" s="3">
        <f t="shared" si="23"/>
        <v>1474.8197896689394</v>
      </c>
      <c r="F82" s="2">
        <f t="shared" si="25"/>
        <v>0.917683367937424</v>
      </c>
      <c r="H82" s="8">
        <f t="shared" si="26"/>
        <v>4.3005307575922069</v>
      </c>
      <c r="I82" s="21">
        <f t="shared" si="32"/>
        <v>70</v>
      </c>
      <c r="J82" s="88">
        <f t="shared" si="27"/>
        <v>5950</v>
      </c>
      <c r="K82" s="2">
        <f t="shared" si="28"/>
        <v>40.362260901654473</v>
      </c>
      <c r="L82" s="2">
        <f t="shared" si="29"/>
        <v>343.07921766406304</v>
      </c>
      <c r="M82" s="2">
        <f t="shared" si="30"/>
        <v>3.7022937157992417</v>
      </c>
    </row>
    <row r="83" spans="1:13">
      <c r="A83" s="14"/>
      <c r="B83" s="20">
        <f t="shared" si="31"/>
        <v>1.4200000000000011E-2</v>
      </c>
      <c r="C83" s="8">
        <f t="shared" si="22"/>
        <v>1.448400000000001</v>
      </c>
      <c r="D83" s="2">
        <f t="shared" si="24"/>
        <v>86.425454203957599</v>
      </c>
      <c r="E83" s="3">
        <f t="shared" si="23"/>
        <v>1498.8708905622896</v>
      </c>
      <c r="F83" s="2">
        <f t="shared" si="25"/>
        <v>0.93264878637364312</v>
      </c>
      <c r="H83" s="8">
        <f t="shared" si="26"/>
        <v>4.3425835836031181</v>
      </c>
      <c r="I83" s="21">
        <f t="shared" si="32"/>
        <v>71</v>
      </c>
      <c r="J83" s="88">
        <f t="shared" si="27"/>
        <v>6035</v>
      </c>
      <c r="K83" s="2">
        <f t="shared" si="28"/>
        <v>40.938864628820966</v>
      </c>
      <c r="L83" s="2">
        <f t="shared" si="29"/>
        <v>347.98034934497821</v>
      </c>
      <c r="M83" s="2">
        <f t="shared" si="30"/>
        <v>3.7551836260249449</v>
      </c>
    </row>
    <row r="84" spans="1:13">
      <c r="A84" s="14"/>
      <c r="B84" s="20">
        <f t="shared" si="31"/>
        <v>1.4400000000000012E-2</v>
      </c>
      <c r="C84" s="8">
        <f t="shared" si="22"/>
        <v>1.4688000000000012</v>
      </c>
      <c r="D84" s="2">
        <f t="shared" si="24"/>
        <v>87.81754715756523</v>
      </c>
      <c r="E84" s="3">
        <f t="shared" si="23"/>
        <v>1523.0138658505098</v>
      </c>
      <c r="F84" s="2">
        <f t="shared" si="25"/>
        <v>0.94767137220394138</v>
      </c>
      <c r="H84" s="8">
        <f t="shared" si="26"/>
        <v>4.3843084363547957</v>
      </c>
      <c r="I84" s="21">
        <f t="shared" si="32"/>
        <v>72</v>
      </c>
      <c r="J84" s="88">
        <f t="shared" si="27"/>
        <v>6120</v>
      </c>
      <c r="K84" s="2">
        <f t="shared" si="28"/>
        <v>41.515468355987458</v>
      </c>
      <c r="L84" s="2">
        <f t="shared" si="29"/>
        <v>352.88148102589338</v>
      </c>
      <c r="M84" s="2">
        <f t="shared" si="30"/>
        <v>3.8080735362506477</v>
      </c>
    </row>
    <row r="85" spans="1:13">
      <c r="B85" s="20">
        <f t="shared" si="31"/>
        <v>1.4600000000000012E-2</v>
      </c>
      <c r="C85" s="8">
        <f t="shared" si="22"/>
        <v>1.4892000000000012</v>
      </c>
      <c r="D85" s="2">
        <f t="shared" si="24"/>
        <v>89.214957859340871</v>
      </c>
      <c r="E85" s="3">
        <f t="shared" si="23"/>
        <v>1547.2490664906911</v>
      </c>
      <c r="F85" s="2">
        <f t="shared" si="25"/>
        <v>0.96275134380583671</v>
      </c>
      <c r="H85" s="8">
        <f t="shared" si="26"/>
        <v>4.4257103920608767</v>
      </c>
      <c r="I85" s="21">
        <f t="shared" si="32"/>
        <v>73</v>
      </c>
      <c r="J85" s="88">
        <f t="shared" si="27"/>
        <v>6205</v>
      </c>
      <c r="K85" s="2">
        <f t="shared" si="28"/>
        <v>42.092072083153951</v>
      </c>
      <c r="L85" s="2">
        <f t="shared" si="29"/>
        <v>357.78261270680861</v>
      </c>
      <c r="M85" s="2">
        <f t="shared" si="30"/>
        <v>3.8609634464763523</v>
      </c>
    </row>
    <row r="86" spans="1:13">
      <c r="B86" s="20">
        <f t="shared" si="31"/>
        <v>1.4800000000000013E-2</v>
      </c>
      <c r="C86" s="8">
        <f t="shared" si="22"/>
        <v>1.5096000000000012</v>
      </c>
      <c r="D86" s="2">
        <f t="shared" si="24"/>
        <v>90.617706622903313</v>
      </c>
      <c r="E86" s="3">
        <f t="shared" si="23"/>
        <v>1571.5768447805704</v>
      </c>
      <c r="F86" s="2">
        <f t="shared" si="25"/>
        <v>0.97788892039104292</v>
      </c>
      <c r="H86" s="8">
        <f t="shared" si="26"/>
        <v>4.4667944099886201</v>
      </c>
      <c r="I86" s="21">
        <f t="shared" si="32"/>
        <v>74</v>
      </c>
      <c r="J86" s="88">
        <f t="shared" si="27"/>
        <v>6290</v>
      </c>
      <c r="K86" s="2">
        <f t="shared" si="28"/>
        <v>42.668675810320444</v>
      </c>
      <c r="L86" s="2">
        <f t="shared" si="29"/>
        <v>362.68374438772378</v>
      </c>
      <c r="M86" s="2">
        <f t="shared" si="30"/>
        <v>3.9138533567020546</v>
      </c>
    </row>
    <row r="87" spans="1:13">
      <c r="B87" s="20">
        <f t="shared" si="31"/>
        <v>1.5000000000000013E-2</v>
      </c>
      <c r="C87" s="8">
        <f t="shared" si="22"/>
        <v>1.5300000000000014</v>
      </c>
      <c r="D87" s="2">
        <f t="shared" si="24"/>
        <v>92.02581383946881</v>
      </c>
      <c r="E87" s="3">
        <f t="shared" si="23"/>
        <v>1595.9975543636515</v>
      </c>
      <c r="F87" s="2">
        <f t="shared" si="25"/>
        <v>0.99308432200865626</v>
      </c>
      <c r="H87" s="8">
        <f t="shared" si="26"/>
        <v>4.5075653360238448</v>
      </c>
      <c r="I87" s="21">
        <f t="shared" si="32"/>
        <v>75</v>
      </c>
      <c r="J87" s="88">
        <f t="shared" si="27"/>
        <v>6375</v>
      </c>
      <c r="K87" s="2">
        <f t="shared" si="28"/>
        <v>43.245279537486937</v>
      </c>
      <c r="L87" s="2">
        <f t="shared" si="29"/>
        <v>367.58487606863895</v>
      </c>
      <c r="M87" s="2">
        <f t="shared" si="30"/>
        <v>3.9667432669277582</v>
      </c>
    </row>
    <row r="88" spans="1:13">
      <c r="B88" s="20">
        <f t="shared" si="31"/>
        <v>1.5200000000000014E-2</v>
      </c>
      <c r="C88" s="8">
        <f t="shared" si="22"/>
        <v>1.5504000000000013</v>
      </c>
      <c r="D88" s="2">
        <f t="shared" si="24"/>
        <v>93.439299978147062</v>
      </c>
      <c r="E88" s="3">
        <f t="shared" si="23"/>
        <v>1620.511550234339</v>
      </c>
      <c r="F88" s="2">
        <f t="shared" si="25"/>
        <v>1.0083377695483495</v>
      </c>
      <c r="H88" s="8">
        <f t="shared" si="26"/>
        <v>4.5480279061010558</v>
      </c>
      <c r="I88" s="21">
        <f t="shared" si="32"/>
        <v>76</v>
      </c>
      <c r="J88" s="88">
        <f t="shared" si="27"/>
        <v>6460</v>
      </c>
      <c r="K88" s="2">
        <f t="shared" si="28"/>
        <v>43.82188326465343</v>
      </c>
      <c r="L88" s="2">
        <f t="shared" si="29"/>
        <v>372.48600774955412</v>
      </c>
      <c r="M88" s="2">
        <f t="shared" si="30"/>
        <v>4.0196331771534615</v>
      </c>
    </row>
    <row r="89" spans="1:13">
      <c r="B89" s="20">
        <f t="shared" si="31"/>
        <v>1.5400000000000014E-2</v>
      </c>
      <c r="C89" s="8">
        <f t="shared" si="22"/>
        <v>1.5708000000000013</v>
      </c>
      <c r="D89" s="2">
        <f t="shared" si="24"/>
        <v>94.858185586239472</v>
      </c>
      <c r="E89" s="3">
        <f t="shared" si="23"/>
        <v>1645.1191887431119</v>
      </c>
      <c r="F89" s="2">
        <f t="shared" si="25"/>
        <v>1.0236494847435915</v>
      </c>
      <c r="H89" s="8">
        <f t="shared" si="26"/>
        <v>4.5881867495048327</v>
      </c>
      <c r="I89" s="21">
        <f t="shared" si="32"/>
        <v>77</v>
      </c>
      <c r="J89" s="88">
        <f t="shared" si="27"/>
        <v>6545</v>
      </c>
      <c r="K89" s="2">
        <f t="shared" si="28"/>
        <v>44.398486991819922</v>
      </c>
      <c r="L89" s="2">
        <f t="shared" si="29"/>
        <v>377.38713943046935</v>
      </c>
      <c r="M89" s="2">
        <f t="shared" si="30"/>
        <v>4.0725230873791665</v>
      </c>
    </row>
    <row r="90" spans="1:13">
      <c r="B90" s="20">
        <f t="shared" si="31"/>
        <v>1.5600000000000015E-2</v>
      </c>
      <c r="C90" s="8">
        <f t="shared" si="22"/>
        <v>1.5912000000000017</v>
      </c>
      <c r="D90" s="2">
        <f t="shared" si="24"/>
        <v>96.28249128953712</v>
      </c>
      <c r="E90" s="3">
        <f t="shared" si="23"/>
        <v>1669.8208276016894</v>
      </c>
      <c r="F90" s="2">
        <f t="shared" si="25"/>
        <v>1.039019690174861</v>
      </c>
      <c r="H90" s="8">
        <f t="shared" si="26"/>
        <v>4.6280463920482227</v>
      </c>
      <c r="I90" s="21">
        <f t="shared" si="32"/>
        <v>78</v>
      </c>
      <c r="J90" s="88">
        <f t="shared" si="27"/>
        <v>6630</v>
      </c>
      <c r="K90" s="2">
        <f t="shared" si="28"/>
        <v>44.975090718986415</v>
      </c>
      <c r="L90" s="2">
        <f t="shared" si="29"/>
        <v>382.28827111138452</v>
      </c>
      <c r="M90" s="2">
        <f t="shared" si="30"/>
        <v>4.1254129976048688</v>
      </c>
    </row>
    <row r="91" spans="1:13">
      <c r="B91" s="20">
        <f t="shared" si="31"/>
        <v>1.5800000000000015E-2</v>
      </c>
      <c r="C91" s="8">
        <f t="shared" si="22"/>
        <v>1.6116000000000015</v>
      </c>
      <c r="D91" s="2">
        <f t="shared" si="24"/>
        <v>97.712237792620897</v>
      </c>
      <c r="E91" s="3">
        <f t="shared" si="23"/>
        <v>1694.6168258882378</v>
      </c>
      <c r="F91" s="2">
        <f t="shared" si="25"/>
        <v>1.0544486092728873</v>
      </c>
      <c r="H91" s="8">
        <f t="shared" si="26"/>
        <v>4.6676112591336123</v>
      </c>
      <c r="I91" s="21">
        <f t="shared" si="32"/>
        <v>79</v>
      </c>
      <c r="J91" s="88">
        <f t="shared" si="27"/>
        <v>6715</v>
      </c>
      <c r="K91" s="2">
        <f t="shared" si="28"/>
        <v>45.551694446152908</v>
      </c>
      <c r="L91" s="2">
        <f t="shared" si="29"/>
        <v>387.18940279229969</v>
      </c>
      <c r="M91" s="2">
        <f t="shared" si="30"/>
        <v>4.178302907830572</v>
      </c>
    </row>
    <row r="92" spans="1:13">
      <c r="B92" s="20">
        <f t="shared" si="31"/>
        <v>1.6000000000000014E-2</v>
      </c>
      <c r="C92" s="8">
        <f t="shared" si="22"/>
        <v>1.6320000000000012</v>
      </c>
      <c r="D92" s="2">
        <f t="shared" si="24"/>
        <v>99.147445879162888</v>
      </c>
      <c r="E92" s="3">
        <f t="shared" si="23"/>
        <v>1719.5075440525964</v>
      </c>
      <c r="F92" s="2">
        <f t="shared" si="25"/>
        <v>1.0699364663219018</v>
      </c>
      <c r="H92" s="8">
        <f t="shared" si="26"/>
        <v>4.7068856787012496</v>
      </c>
      <c r="I92" s="21">
        <f t="shared" si="32"/>
        <v>80</v>
      </c>
      <c r="J92" s="88">
        <f t="shared" si="27"/>
        <v>6800</v>
      </c>
      <c r="K92" s="2">
        <f t="shared" si="28"/>
        <v>46.128298173319401</v>
      </c>
      <c r="L92" s="2">
        <f t="shared" si="29"/>
        <v>392.09053447321486</v>
      </c>
      <c r="M92" s="2">
        <f t="shared" si="30"/>
        <v>4.2311928180562752</v>
      </c>
    </row>
    <row r="93" spans="1:13">
      <c r="B93" s="20">
        <f t="shared" si="31"/>
        <v>1.6200000000000013E-2</v>
      </c>
      <c r="C93" s="8">
        <f t="shared" si="22"/>
        <v>1.6524000000000014</v>
      </c>
      <c r="D93" s="2">
        <f t="shared" si="24"/>
        <v>100.5881364122277</v>
      </c>
      <c r="E93" s="3">
        <f t="shared" si="23"/>
        <v>1744.493343921504</v>
      </c>
      <c r="F93" s="2">
        <f t="shared" si="25"/>
        <v>1.0854834864628888</v>
      </c>
      <c r="H93" s="8">
        <f t="shared" si="26"/>
        <v>4.745873884070317</v>
      </c>
      <c r="I93" s="21">
        <f t="shared" si="32"/>
        <v>81</v>
      </c>
      <c r="J93" s="88">
        <f t="shared" si="27"/>
        <v>6885</v>
      </c>
      <c r="K93" s="2">
        <f t="shared" si="28"/>
        <v>46.704901900485893</v>
      </c>
      <c r="L93" s="2">
        <f t="shared" si="29"/>
        <v>396.99166615413009</v>
      </c>
      <c r="M93" s="2">
        <f t="shared" si="30"/>
        <v>4.2840827282819793</v>
      </c>
    </row>
    <row r="94" spans="1:13">
      <c r="B94" s="20">
        <f t="shared" si="31"/>
        <v>1.6400000000000012E-2</v>
      </c>
      <c r="C94" s="8">
        <f t="shared" si="22"/>
        <v>1.672800000000001</v>
      </c>
      <c r="D94" s="2">
        <f t="shared" si="24"/>
        <v>102.03433033457628</v>
      </c>
      <c r="E94" s="3">
        <f t="shared" si="23"/>
        <v>1769.5745887038672</v>
      </c>
      <c r="F94" s="2">
        <f t="shared" si="25"/>
        <v>1.1010898956968664</v>
      </c>
      <c r="H94" s="8">
        <f t="shared" si="26"/>
        <v>4.7845800166772348</v>
      </c>
      <c r="I94" s="21">
        <f t="shared" si="32"/>
        <v>82</v>
      </c>
      <c r="J94" s="88">
        <f t="shared" si="27"/>
        <v>6970</v>
      </c>
      <c r="K94" s="2">
        <f t="shared" si="28"/>
        <v>47.281505627652386</v>
      </c>
      <c r="L94" s="2">
        <f t="shared" si="29"/>
        <v>401.89279783504526</v>
      </c>
      <c r="M94" s="2">
        <f t="shared" si="30"/>
        <v>4.3369726385076826</v>
      </c>
    </row>
    <row r="95" spans="1:13">
      <c r="B95" s="20">
        <f t="shared" si="31"/>
        <v>1.6600000000000011E-2</v>
      </c>
      <c r="C95" s="8">
        <f t="shared" si="22"/>
        <v>1.6932000000000009</v>
      </c>
      <c r="D95" s="2">
        <f t="shared" si="24"/>
        <v>103.48604866897028</v>
      </c>
      <c r="E95" s="3">
        <f t="shared" si="23"/>
        <v>1794.7516429960401</v>
      </c>
      <c r="F95" s="2">
        <f t="shared" si="25"/>
        <v>1.1167559208881686</v>
      </c>
      <c r="H95" s="8">
        <f t="shared" si="26"/>
        <v>4.8230081287156237</v>
      </c>
      <c r="I95" s="21">
        <f t="shared" si="32"/>
        <v>83</v>
      </c>
      <c r="J95" s="88">
        <f t="shared" si="27"/>
        <v>7055</v>
      </c>
      <c r="K95" s="2">
        <f t="shared" si="28"/>
        <v>47.858109354818879</v>
      </c>
      <c r="L95" s="2">
        <f t="shared" si="29"/>
        <v>406.79392951596043</v>
      </c>
      <c r="M95" s="2">
        <f t="shared" si="30"/>
        <v>4.3898625487333858</v>
      </c>
    </row>
    <row r="96" spans="1:13">
      <c r="B96" s="20">
        <f t="shared" si="31"/>
        <v>1.6800000000000009E-2</v>
      </c>
      <c r="C96" s="8">
        <f t="shared" si="22"/>
        <v>1.7136000000000009</v>
      </c>
      <c r="D96" s="2">
        <f t="shared" si="24"/>
        <v>104.94331251847746</v>
      </c>
      <c r="E96" s="3">
        <f t="shared" si="23"/>
        <v>1820.0248727871196</v>
      </c>
      <c r="F96" s="2">
        <f t="shared" si="25"/>
        <v>1.1324817897677424</v>
      </c>
      <c r="H96" s="8">
        <f t="shared" si="26"/>
        <v>4.8611621856821197</v>
      </c>
      <c r="I96" s="21">
        <f t="shared" si="32"/>
        <v>84</v>
      </c>
      <c r="J96" s="88">
        <f t="shared" si="27"/>
        <v>7140</v>
      </c>
      <c r="K96" s="2">
        <f t="shared" si="28"/>
        <v>48.434713081985372</v>
      </c>
      <c r="L96" s="2">
        <f t="shared" si="29"/>
        <v>411.69506119687566</v>
      </c>
      <c r="M96" s="2">
        <f t="shared" si="30"/>
        <v>4.4427524589590899</v>
      </c>
    </row>
    <row r="97" spans="1:13">
      <c r="B97" s="20">
        <f t="shared" si="31"/>
        <v>1.7000000000000008E-2</v>
      </c>
      <c r="C97" s="8">
        <f t="shared" si="22"/>
        <v>1.7340000000000009</v>
      </c>
      <c r="D97" s="2">
        <f t="shared" si="24"/>
        <v>106.40614306677878</v>
      </c>
      <c r="E97" s="3">
        <f t="shared" si="23"/>
        <v>1845.394645464273</v>
      </c>
      <c r="F97" s="2">
        <f t="shared" si="25"/>
        <v>1.1482677309364617</v>
      </c>
      <c r="H97" s="8">
        <f t="shared" si="26"/>
        <v>4.8990460688320532</v>
      </c>
      <c r="I97" s="21">
        <f t="shared" si="32"/>
        <v>85</v>
      </c>
      <c r="J97" s="88">
        <f t="shared" si="27"/>
        <v>7225</v>
      </c>
      <c r="K97" s="2">
        <f t="shared" si="28"/>
        <v>49.011316809151857</v>
      </c>
      <c r="L97" s="2">
        <f t="shared" si="29"/>
        <v>416.59619287779083</v>
      </c>
      <c r="M97" s="2">
        <f t="shared" si="30"/>
        <v>4.4956423691847931</v>
      </c>
    </row>
    <row r="98" spans="1:13">
      <c r="B98" s="20">
        <f t="shared" si="31"/>
        <v>1.7200000000000007E-2</v>
      </c>
      <c r="C98" s="8">
        <f t="shared" si="22"/>
        <v>1.7544000000000008</v>
      </c>
      <c r="D98" s="2">
        <f t="shared" si="24"/>
        <v>107.87456157847589</v>
      </c>
      <c r="E98" s="3">
        <f t="shared" si="23"/>
        <v>1870.8613298180685</v>
      </c>
      <c r="F98" s="2">
        <f t="shared" si="25"/>
        <v>1.164113973868445</v>
      </c>
      <c r="H98" s="8">
        <f t="shared" si="26"/>
        <v>4.9366635775488055</v>
      </c>
      <c r="I98" s="21">
        <f t="shared" si="32"/>
        <v>86</v>
      </c>
      <c r="J98" s="88">
        <f t="shared" si="27"/>
        <v>7310</v>
      </c>
      <c r="K98" s="2">
        <f t="shared" si="28"/>
        <v>49.58792053631835</v>
      </c>
      <c r="L98" s="2">
        <f t="shared" si="29"/>
        <v>421.497324558706</v>
      </c>
      <c r="M98" s="2">
        <f t="shared" si="30"/>
        <v>4.5485322794104963</v>
      </c>
    </row>
    <row r="99" spans="1:13">
      <c r="B99" s="20">
        <f t="shared" si="31"/>
        <v>1.7400000000000006E-2</v>
      </c>
      <c r="C99" s="8">
        <f t="shared" si="22"/>
        <v>1.7748000000000004</v>
      </c>
      <c r="D99" s="2">
        <f t="shared" si="24"/>
        <v>109.34858939940074</v>
      </c>
      <c r="E99" s="3">
        <f t="shared" si="23"/>
        <v>1896.4252960478468</v>
      </c>
      <c r="F99" s="2">
        <f t="shared" si="25"/>
        <v>1.1800207489143963</v>
      </c>
      <c r="H99" s="8">
        <f t="shared" si="26"/>
        <v>4.9740184316304283</v>
      </c>
      <c r="I99" s="21">
        <f t="shared" si="32"/>
        <v>87</v>
      </c>
      <c r="J99" s="88">
        <f t="shared" si="27"/>
        <v>7395</v>
      </c>
      <c r="K99" s="2">
        <f t="shared" si="28"/>
        <v>50.164524263484843</v>
      </c>
      <c r="L99" s="2">
        <f t="shared" si="29"/>
        <v>426.39845623962117</v>
      </c>
      <c r="M99" s="2">
        <f t="shared" si="30"/>
        <v>4.6014221896361995</v>
      </c>
    </row>
    <row r="100" spans="1:13">
      <c r="B100" s="20">
        <f t="shared" si="31"/>
        <v>1.7600000000000005E-2</v>
      </c>
      <c r="C100" s="8">
        <f t="shared" si="22"/>
        <v>1.7952000000000004</v>
      </c>
      <c r="D100" s="2">
        <f t="shared" si="24"/>
        <v>110.82824795692551</v>
      </c>
      <c r="E100" s="3">
        <f t="shared" si="23"/>
        <v>1922.086915767095</v>
      </c>
      <c r="F100" s="2">
        <f t="shared" si="25"/>
        <v>1.1959882873049514</v>
      </c>
      <c r="H100" s="8">
        <f t="shared" si="26"/>
        <v>5.0111142734969985</v>
      </c>
      <c r="I100" s="21">
        <f t="shared" si="32"/>
        <v>88</v>
      </c>
      <c r="J100" s="88">
        <f t="shared" si="27"/>
        <v>7480</v>
      </c>
      <c r="K100" s="2">
        <f t="shared" si="28"/>
        <v>50.741127990651336</v>
      </c>
      <c r="L100" s="2">
        <f t="shared" si="29"/>
        <v>431.2995879205364</v>
      </c>
      <c r="M100" s="2">
        <f t="shared" si="30"/>
        <v>4.6543120998619036</v>
      </c>
    </row>
    <row r="101" spans="1:13">
      <c r="B101" s="20">
        <f t="shared" si="31"/>
        <v>1.7800000000000003E-2</v>
      </c>
      <c r="C101" s="8">
        <f t="shared" si="22"/>
        <v>1.8156000000000001</v>
      </c>
      <c r="D101" s="2">
        <f t="shared" si="24"/>
        <v>112.31355876027425</v>
      </c>
      <c r="E101" s="3">
        <f t="shared" si="23"/>
        <v>1947.8465620088521</v>
      </c>
      <c r="F101" s="2">
        <f t="shared" si="25"/>
        <v>1.2120168211540387</v>
      </c>
      <c r="H101" s="8">
        <f t="shared" si="26"/>
        <v>5.0479546703219658</v>
      </c>
      <c r="I101" s="21">
        <f t="shared" si="32"/>
        <v>89</v>
      </c>
      <c r="J101" s="88">
        <f t="shared" si="27"/>
        <v>7565</v>
      </c>
      <c r="K101" s="2">
        <f t="shared" si="28"/>
        <v>51.317731717817828</v>
      </c>
      <c r="L101" s="2">
        <f t="shared" si="29"/>
        <v>436.20071960145157</v>
      </c>
      <c r="M101" s="2">
        <f t="shared" si="30"/>
        <v>4.7072020100876069</v>
      </c>
    </row>
    <row r="102" spans="1:13">
      <c r="B102" s="20">
        <f t="shared" si="31"/>
        <v>1.8000000000000002E-2</v>
      </c>
      <c r="C102" s="8">
        <f t="shared" si="22"/>
        <v>1.8360000000000001</v>
      </c>
      <c r="D102" s="2">
        <f t="shared" si="24"/>
        <v>113.8045434008356</v>
      </c>
      <c r="E102" s="3">
        <f t="shared" si="23"/>
        <v>1973.7046092311314</v>
      </c>
      <c r="F102" s="2">
        <f t="shared" si="25"/>
        <v>1.2281065834622547</v>
      </c>
      <c r="H102" s="8">
        <f t="shared" si="26"/>
        <v>5.0845431160906269</v>
      </c>
      <c r="I102" s="21">
        <f t="shared" si="32"/>
        <v>90</v>
      </c>
      <c r="J102" s="88">
        <f t="shared" si="27"/>
        <v>7650</v>
      </c>
      <c r="K102" s="2">
        <f t="shared" si="28"/>
        <v>51.894335444984321</v>
      </c>
      <c r="L102" s="2">
        <f t="shared" si="29"/>
        <v>441.10185128236674</v>
      </c>
      <c r="M102" s="2">
        <f t="shared" si="30"/>
        <v>4.760091920313311</v>
      </c>
    </row>
    <row r="103" spans="1:13">
      <c r="B103" s="20">
        <f t="shared" si="31"/>
        <v>1.8200000000000001E-2</v>
      </c>
      <c r="C103" s="8">
        <f t="shared" si="22"/>
        <v>1.8564000000000001</v>
      </c>
      <c r="D103" s="2">
        <f t="shared" si="24"/>
        <v>115.30122355247636</v>
      </c>
      <c r="E103" s="3">
        <f t="shared" si="23"/>
        <v>1999.6614333223604</v>
      </c>
      <c r="F103" s="2">
        <f t="shared" si="25"/>
        <v>1.2442578081202484</v>
      </c>
      <c r="H103" s="8">
        <f t="shared" si="26"/>
        <v>5.1208830335886768</v>
      </c>
      <c r="I103" s="21">
        <f t="shared" si="32"/>
        <v>91</v>
      </c>
      <c r="J103" s="88">
        <f t="shared" si="27"/>
        <v>7735</v>
      </c>
      <c r="K103" s="2">
        <f t="shared" si="28"/>
        <v>52.470939172150814</v>
      </c>
      <c r="L103" s="2">
        <f t="shared" si="29"/>
        <v>446.00298296328191</v>
      </c>
      <c r="M103" s="2">
        <f t="shared" si="30"/>
        <v>4.8129818305390133</v>
      </c>
    </row>
    <row r="104" spans="1:13">
      <c r="B104" s="20">
        <f t="shared" si="31"/>
        <v>1.84E-2</v>
      </c>
      <c r="C104" s="8">
        <f t="shared" si="22"/>
        <v>1.8768</v>
      </c>
      <c r="D104" s="2">
        <f t="shared" si="24"/>
        <v>116.80362097185696</v>
      </c>
      <c r="E104" s="3">
        <f t="shared" si="23"/>
        <v>2025.7174116068502</v>
      </c>
      <c r="F104" s="2">
        <f t="shared" si="25"/>
        <v>1.2604707299121254</v>
      </c>
      <c r="H104" s="8">
        <f t="shared" si="26"/>
        <v>5.1569777763236804</v>
      </c>
      <c r="I104" s="21">
        <f t="shared" si="32"/>
        <v>92</v>
      </c>
      <c r="J104" s="88">
        <f t="shared" si="27"/>
        <v>7820</v>
      </c>
      <c r="K104" s="2">
        <f t="shared" si="28"/>
        <v>53.047542899317307</v>
      </c>
      <c r="L104" s="2">
        <f t="shared" si="29"/>
        <v>450.90411464419714</v>
      </c>
      <c r="M104" s="2">
        <f t="shared" si="30"/>
        <v>4.8658717407647174</v>
      </c>
    </row>
    <row r="105" spans="1:13">
      <c r="B105" s="20">
        <f t="shared" si="31"/>
        <v>1.8599999999999998E-2</v>
      </c>
      <c r="C105" s="8">
        <f t="shared" si="22"/>
        <v>1.8971999999999996</v>
      </c>
      <c r="D105" s="2">
        <f t="shared" si="24"/>
        <v>118.31175749874757</v>
      </c>
      <c r="E105" s="3">
        <f t="shared" si="23"/>
        <v>2051.8729228502789</v>
      </c>
      <c r="F105" s="2">
        <f t="shared" si="25"/>
        <v>1.2767455845188587</v>
      </c>
      <c r="H105" s="8">
        <f t="shared" si="26"/>
        <v>5.1928306303821667</v>
      </c>
      <c r="I105" s="21">
        <f t="shared" si="32"/>
        <v>93</v>
      </c>
      <c r="J105" s="88">
        <f t="shared" si="27"/>
        <v>7905</v>
      </c>
      <c r="K105" s="2">
        <f t="shared" si="28"/>
        <v>53.6241466264838</v>
      </c>
      <c r="L105" s="2">
        <f t="shared" si="29"/>
        <v>455.80524632511231</v>
      </c>
      <c r="M105" s="2">
        <f t="shared" si="30"/>
        <v>4.9187616509904197</v>
      </c>
    </row>
    <row r="106" spans="1:13">
      <c r="B106" s="20">
        <f t="shared" si="31"/>
        <v>1.8799999999999997E-2</v>
      </c>
      <c r="C106" s="8">
        <f t="shared" si="22"/>
        <v>1.9175999999999995</v>
      </c>
      <c r="D106" s="2">
        <f t="shared" si="24"/>
        <v>119.8256550563454</v>
      </c>
      <c r="E106" s="3">
        <f t="shared" si="23"/>
        <v>2078.1283472651944</v>
      </c>
      <c r="F106" s="2">
        <f t="shared" si="25"/>
        <v>1.2930826085217129</v>
      </c>
      <c r="H106" s="8">
        <f t="shared" si="26"/>
        <v>5.2284448162248998</v>
      </c>
      <c r="I106" s="21">
        <f t="shared" si="32"/>
        <v>94</v>
      </c>
      <c r="J106" s="88">
        <f t="shared" si="27"/>
        <v>7990</v>
      </c>
      <c r="K106" s="2">
        <f t="shared" si="28"/>
        <v>54.200750353650292</v>
      </c>
      <c r="L106" s="2">
        <f t="shared" si="29"/>
        <v>460.70637800602748</v>
      </c>
      <c r="M106" s="2">
        <f t="shared" si="30"/>
        <v>4.9716515612161238</v>
      </c>
    </row>
    <row r="107" spans="1:13">
      <c r="A107" s="14"/>
      <c r="B107" s="20">
        <f t="shared" si="31"/>
        <v>1.8999999999999996E-2</v>
      </c>
      <c r="C107" s="8">
        <f t="shared" si="22"/>
        <v>1.9379999999999995</v>
      </c>
      <c r="D107" s="2">
        <f t="shared" si="24"/>
        <v>121.34533565159353</v>
      </c>
      <c r="E107" s="3">
        <f t="shared" si="23"/>
        <v>2104.484066516543</v>
      </c>
      <c r="F107" s="2">
        <f t="shared" si="25"/>
        <v>1.3094820394056856</v>
      </c>
      <c r="H107" s="8">
        <f t="shared" si="26"/>
        <v>5.2638234904227961</v>
      </c>
      <c r="I107" s="21">
        <f t="shared" si="32"/>
        <v>95</v>
      </c>
      <c r="J107" s="88">
        <f t="shared" si="27"/>
        <v>8075</v>
      </c>
      <c r="K107" s="2">
        <f t="shared" si="28"/>
        <v>54.777354080816785</v>
      </c>
      <c r="L107" s="2">
        <f t="shared" si="29"/>
        <v>465.60750968694265</v>
      </c>
      <c r="M107" s="2">
        <f t="shared" si="30"/>
        <v>5.0245414714418271</v>
      </c>
    </row>
    <row r="108" spans="1:13">
      <c r="A108" s="87"/>
      <c r="B108" s="20">
        <f t="shared" si="31"/>
        <v>1.9199999999999995E-2</v>
      </c>
      <c r="C108" s="8">
        <f t="shared" si="22"/>
        <v>1.9583999999999995</v>
      </c>
      <c r="D108" s="2">
        <f t="shared" si="24"/>
        <v>122.87082137550107</v>
      </c>
      <c r="E108" s="3">
        <f t="shared" si="23"/>
        <v>2130.9404637272232</v>
      </c>
      <c r="F108" s="2">
        <f t="shared" si="25"/>
        <v>1.3259441155629612</v>
      </c>
      <c r="H108" s="8">
        <f t="shared" si="26"/>
        <v>5.298969747335823</v>
      </c>
      <c r="I108" s="21">
        <f t="shared" si="32"/>
        <v>96</v>
      </c>
      <c r="J108" s="88">
        <f t="shared" si="27"/>
        <v>8160</v>
      </c>
      <c r="K108" s="2">
        <f t="shared" si="28"/>
        <v>55.353957807983278</v>
      </c>
      <c r="L108" s="2">
        <f t="shared" si="29"/>
        <v>470.50864136785788</v>
      </c>
      <c r="M108" s="2">
        <f t="shared" si="30"/>
        <v>5.0774313816675312</v>
      </c>
    </row>
    <row r="109" spans="1:13">
      <c r="A109" s="87"/>
      <c r="B109" s="20">
        <f t="shared" si="31"/>
        <v>1.9399999999999994E-2</v>
      </c>
      <c r="C109" s="8">
        <f t="shared" si="22"/>
        <v>1.9787999999999992</v>
      </c>
      <c r="D109" s="2">
        <f t="shared" si="24"/>
        <v>124.40213440346372</v>
      </c>
      <c r="E109" s="3">
        <f t="shared" si="23"/>
        <v>2157.4979234836442</v>
      </c>
      <c r="F109" s="2">
        <f t="shared" si="25"/>
        <v>1.3424690762963711</v>
      </c>
      <c r="H109" s="8">
        <f t="shared" si="26"/>
        <v>5.3338866207370979</v>
      </c>
      <c r="I109" s="21">
        <f t="shared" si="32"/>
        <v>97</v>
      </c>
      <c r="J109" s="88">
        <f t="shared" si="27"/>
        <v>8245</v>
      </c>
      <c r="K109" s="2">
        <f t="shared" si="28"/>
        <v>55.930561535149771</v>
      </c>
      <c r="L109" s="2">
        <f t="shared" si="29"/>
        <v>475.40977304877305</v>
      </c>
      <c r="M109" s="2">
        <f t="shared" si="30"/>
        <v>5.1303212918932344</v>
      </c>
    </row>
    <row r="110" spans="1:13">
      <c r="A110" s="87"/>
      <c r="B110" s="20">
        <f t="shared" si="31"/>
        <v>1.9599999999999992E-2</v>
      </c>
      <c r="C110" s="8">
        <f t="shared" si="22"/>
        <v>1.999199999999999</v>
      </c>
      <c r="D110" s="2">
        <f t="shared" si="24"/>
        <v>125.93929699558657</v>
      </c>
      <c r="E110" s="3">
        <f t="shared" si="23"/>
        <v>2184.1568318413247</v>
      </c>
      <c r="F110" s="2">
        <f t="shared" si="25"/>
        <v>1.3590571618228766</v>
      </c>
      <c r="H110" s="8">
        <f t="shared" si="26"/>
        <v>5.3685770853843469</v>
      </c>
      <c r="I110" s="21">
        <f t="shared" si="32"/>
        <v>98</v>
      </c>
      <c r="J110" s="88">
        <f t="shared" si="27"/>
        <v>8330</v>
      </c>
      <c r="K110" s="2">
        <f t="shared" si="28"/>
        <v>56.507165262316263</v>
      </c>
      <c r="L110" s="2">
        <f t="shared" si="29"/>
        <v>480.31090472968822</v>
      </c>
      <c r="M110" s="2">
        <f t="shared" si="30"/>
        <v>5.1832112021189376</v>
      </c>
    </row>
    <row r="111" spans="1:13">
      <c r="A111" s="87"/>
      <c r="B111" s="20">
        <f t="shared" si="31"/>
        <v>1.9799999999999991E-2</v>
      </c>
      <c r="C111" s="8">
        <f t="shared" si="22"/>
        <v>2.0195999999999992</v>
      </c>
      <c r="D111" s="2">
        <f t="shared" si="24"/>
        <v>127.48233149700769</v>
      </c>
      <c r="E111" s="3">
        <f t="shared" si="23"/>
        <v>2210.9175763305043</v>
      </c>
      <c r="F111" s="2">
        <f t="shared" si="25"/>
        <v>1.3757086132770615</v>
      </c>
      <c r="H111" s="8">
        <f t="shared" si="26"/>
        <v>5.4030440585407318</v>
      </c>
      <c r="I111" s="21">
        <f t="shared" si="32"/>
        <v>99</v>
      </c>
      <c r="J111" s="88">
        <f t="shared" si="27"/>
        <v>8415</v>
      </c>
      <c r="K111" s="2">
        <f t="shared" si="28"/>
        <v>57.083768989482756</v>
      </c>
      <c r="L111" s="2">
        <f t="shared" si="29"/>
        <v>485.21203641060345</v>
      </c>
      <c r="M111" s="2">
        <f t="shared" si="30"/>
        <v>5.2361011123446408</v>
      </c>
    </row>
    <row r="112" spans="1:13">
      <c r="A112" s="87"/>
      <c r="B112" s="20">
        <f t="shared" si="31"/>
        <v>1.999999999999999E-2</v>
      </c>
      <c r="C112" s="8">
        <f t="shared" si="22"/>
        <v>2.0399999999999987</v>
      </c>
      <c r="D112" s="2">
        <f t="shared" si="24"/>
        <v>129.03126033822252</v>
      </c>
      <c r="E112" s="3">
        <f t="shared" si="23"/>
        <v>2237.7805459617703</v>
      </c>
      <c r="F112" s="2">
        <f t="shared" si="25"/>
        <v>1.3924236727146315</v>
      </c>
      <c r="H112" s="8">
        <f t="shared" si="26"/>
        <v>5.4372904014470036</v>
      </c>
      <c r="I112" s="21">
        <f t="shared" si="32"/>
        <v>100</v>
      </c>
      <c r="J112" s="88">
        <f t="shared" si="27"/>
        <v>8500</v>
      </c>
      <c r="K112" s="2">
        <f t="shared" si="28"/>
        <v>57.660372716649249</v>
      </c>
      <c r="L112" s="2">
        <f t="shared" si="29"/>
        <v>490.11316809151862</v>
      </c>
      <c r="M112" s="2">
        <f t="shared" si="30"/>
        <v>5.2889910225703449</v>
      </c>
    </row>
    <row r="113" spans="1:6">
      <c r="A113" s="87"/>
      <c r="B113" s="20">
        <f t="shared" si="31"/>
        <v>2.0199999999999989E-2</v>
      </c>
      <c r="C113" s="8">
        <f t="shared" si="22"/>
        <v>2.0603999999999987</v>
      </c>
      <c r="D113" s="2">
        <f t="shared" si="24"/>
        <v>130.58610603541069</v>
      </c>
      <c r="E113" s="3">
        <f t="shared" si="23"/>
        <v>2264.746131231725</v>
      </c>
      <c r="F113" s="2">
        <f t="shared" si="25"/>
        <v>1.4092025831159427</v>
      </c>
    </row>
    <row r="114" spans="1:6">
      <c r="A114" s="14"/>
      <c r="B114" s="20">
        <f t="shared" si="31"/>
        <v>2.0399999999999988E-2</v>
      </c>
      <c r="C114" s="8">
        <f t="shared" si="22"/>
        <v>2.0807999999999987</v>
      </c>
      <c r="D114" s="2">
        <f t="shared" si="24"/>
        <v>132.14689119076246</v>
      </c>
      <c r="E114" s="3">
        <f t="shared" si="23"/>
        <v>2291.814724128647</v>
      </c>
      <c r="F114" s="2">
        <f t="shared" si="25"/>
        <v>1.4260455883895229</v>
      </c>
    </row>
    <row r="115" spans="1:6">
      <c r="A115" s="14"/>
      <c r="B115" s="20">
        <f t="shared" si="31"/>
        <v>2.0599999999999986E-2</v>
      </c>
      <c r="C115" s="8">
        <f t="shared" si="22"/>
        <v>2.1011999999999982</v>
      </c>
      <c r="D115" s="2">
        <f t="shared" si="24"/>
        <v>133.71363849280777</v>
      </c>
      <c r="E115" s="3">
        <f t="shared" si="23"/>
        <v>2318.9867181381987</v>
      </c>
      <c r="F115" s="2">
        <f t="shared" si="25"/>
        <v>1.4429529333756235</v>
      </c>
    </row>
    <row r="116" spans="1:6">
      <c r="B116" s="20">
        <f t="shared" si="31"/>
        <v>2.0799999999999985E-2</v>
      </c>
      <c r="C116" s="8">
        <f t="shared" si="22"/>
        <v>2.1215999999999986</v>
      </c>
      <c r="D116" s="2">
        <f t="shared" si="24"/>
        <v>135.28637071674632</v>
      </c>
      <c r="E116" s="3">
        <f t="shared" si="23"/>
        <v>2346.26250824915</v>
      </c>
      <c r="F116" s="2">
        <f t="shared" si="25"/>
        <v>1.4599248638497804</v>
      </c>
    </row>
    <row r="117" spans="1:6">
      <c r="B117" s="20">
        <f t="shared" si="31"/>
        <v>2.0999999999999984E-2</v>
      </c>
      <c r="C117" s="8">
        <f t="shared" si="22"/>
        <v>2.1419999999999981</v>
      </c>
      <c r="D117" s="2">
        <f t="shared" si="24"/>
        <v>136.86511072477776</v>
      </c>
      <c r="E117" s="3">
        <f t="shared" si="23"/>
        <v>2373.6424909591055</v>
      </c>
      <c r="F117" s="2">
        <f t="shared" si="25"/>
        <v>1.4769616265263787</v>
      </c>
    </row>
    <row r="118" spans="1:6">
      <c r="B118" s="20">
        <f t="shared" si="31"/>
        <v>2.1199999999999983E-2</v>
      </c>
      <c r="C118" s="8">
        <f t="shared" si="22"/>
        <v>2.1623999999999985</v>
      </c>
      <c r="D118" s="2">
        <f t="shared" si="24"/>
        <v>138.4498814664351</v>
      </c>
      <c r="E118" s="3">
        <f t="shared" si="23"/>
        <v>2401.127064280286</v>
      </c>
      <c r="F118" s="2">
        <f t="shared" si="25"/>
        <v>1.4940634690622494</v>
      </c>
    </row>
    <row r="119" spans="1:6">
      <c r="B119" s="20">
        <f t="shared" si="31"/>
        <v>2.1399999999999982E-2</v>
      </c>
      <c r="C119" s="8">
        <f t="shared" si="22"/>
        <v>2.1827999999999981</v>
      </c>
      <c r="D119" s="2">
        <f t="shared" si="24"/>
        <v>140.04070597891729</v>
      </c>
      <c r="E119" s="3">
        <f t="shared" si="23"/>
        <v>2428.716627745297</v>
      </c>
      <c r="F119" s="2">
        <f t="shared" si="25"/>
        <v>1.5112306400602584</v>
      </c>
    </row>
    <row r="120" spans="1:6">
      <c r="B120" s="20">
        <f t="shared" si="31"/>
        <v>2.159999999999998E-2</v>
      </c>
      <c r="C120" s="8">
        <f t="shared" si="22"/>
        <v>2.203199999999998</v>
      </c>
      <c r="D120" s="2">
        <f t="shared" si="24"/>
        <v>141.63760738742508</v>
      </c>
      <c r="E120" s="3">
        <f t="shared" si="23"/>
        <v>2456.4115824129535</v>
      </c>
      <c r="F120" s="2">
        <f t="shared" si="25"/>
        <v>1.5284633890729324</v>
      </c>
    </row>
    <row r="121" spans="1:6">
      <c r="B121" s="20">
        <f t="shared" si="31"/>
        <v>2.1799999999999979E-2</v>
      </c>
      <c r="C121" s="8">
        <f t="shared" si="22"/>
        <v>2.2235999999999976</v>
      </c>
      <c r="D121" s="2">
        <f t="shared" si="24"/>
        <v>143.2406089054964</v>
      </c>
      <c r="E121" s="3">
        <f t="shared" si="23"/>
        <v>2484.2123308740966</v>
      </c>
      <c r="F121" s="2">
        <f t="shared" si="25"/>
        <v>1.5457619666060762</v>
      </c>
    </row>
    <row r="122" spans="1:6">
      <c r="B122" s="20">
        <f t="shared" si="31"/>
        <v>2.1999999999999978E-2</v>
      </c>
      <c r="C122" s="8">
        <f t="shared" si="22"/>
        <v>2.2439999999999976</v>
      </c>
      <c r="D122" s="2">
        <f t="shared" si="24"/>
        <v>144.84973383534424</v>
      </c>
      <c r="E122" s="3">
        <f t="shared" si="23"/>
        <v>2512.1192772574523</v>
      </c>
      <c r="F122" s="2">
        <f t="shared" si="25"/>
        <v>1.5631266241224198</v>
      </c>
    </row>
    <row r="123" spans="1:6">
      <c r="B123" s="20">
        <f t="shared" si="31"/>
        <v>2.2199999999999977E-2</v>
      </c>
      <c r="C123" s="8">
        <f t="shared" si="22"/>
        <v>2.2643999999999975</v>
      </c>
      <c r="D123" s="2">
        <f t="shared" si="24"/>
        <v>146.46500556819518</v>
      </c>
      <c r="E123" s="3">
        <f t="shared" si="23"/>
        <v>2540.132827235504</v>
      </c>
      <c r="F123" s="2">
        <f t="shared" si="25"/>
        <v>1.5805576140452717</v>
      </c>
    </row>
    <row r="124" spans="1:6">
      <c r="B124" s="20">
        <f t="shared" si="31"/>
        <v>2.2399999999999975E-2</v>
      </c>
      <c r="C124" s="8">
        <f t="shared" si="22"/>
        <v>2.2847999999999971</v>
      </c>
      <c r="D124" s="2">
        <f t="shared" si="24"/>
        <v>148.08644758462958</v>
      </c>
      <c r="E124" s="3">
        <f t="shared" si="23"/>
        <v>2568.2533880303913</v>
      </c>
      <c r="F124" s="2">
        <f t="shared" si="25"/>
        <v>1.5980551897621897</v>
      </c>
    </row>
    <row r="125" spans="1:6">
      <c r="B125" s="20">
        <f t="shared" si="31"/>
        <v>2.2599999999999974E-2</v>
      </c>
      <c r="C125" s="8">
        <f t="shared" si="22"/>
        <v>2.305199999999997</v>
      </c>
      <c r="D125" s="2">
        <f t="shared" si="24"/>
        <v>149.71408345492279</v>
      </c>
      <c r="E125" s="3">
        <f t="shared" si="23"/>
        <v>2596.4813684198284</v>
      </c>
      <c r="F125" s="2">
        <f t="shared" si="25"/>
        <v>1.6156196056286631</v>
      </c>
    </row>
    <row r="126" spans="1:6">
      <c r="B126" s="20">
        <f t="shared" si="31"/>
        <v>2.2799999999999973E-2</v>
      </c>
      <c r="C126" s="8">
        <f t="shared" si="22"/>
        <v>2.325599999999997</v>
      </c>
      <c r="D126" s="2">
        <f t="shared" si="24"/>
        <v>151.34793683938773</v>
      </c>
      <c r="E126" s="3">
        <f t="shared" si="23"/>
        <v>2624.8171787430451</v>
      </c>
      <c r="F126" s="2">
        <f t="shared" si="25"/>
        <v>1.63325111697181</v>
      </c>
    </row>
    <row r="127" spans="1:6">
      <c r="B127" s="20">
        <f t="shared" si="31"/>
        <v>2.2999999999999972E-2</v>
      </c>
      <c r="C127" s="8">
        <f t="shared" si="22"/>
        <v>2.345999999999997</v>
      </c>
      <c r="D127" s="2">
        <f t="shared" si="24"/>
        <v>152.98803148871912</v>
      </c>
      <c r="E127" s="3">
        <f t="shared" si="23"/>
        <v>2653.2612309067558</v>
      </c>
      <c r="F127" s="2">
        <f t="shared" si="25"/>
        <v>1.6509499800940912</v>
      </c>
    </row>
    <row r="128" spans="1:6">
      <c r="B128" s="20">
        <f t="shared" si="31"/>
        <v>2.3199999999999971E-2</v>
      </c>
      <c r="C128" s="8">
        <f t="shared" si="22"/>
        <v>2.366399999999997</v>
      </c>
      <c r="D128" s="2">
        <f t="shared" si="24"/>
        <v>154.63439124433836</v>
      </c>
      <c r="E128" s="3">
        <f t="shared" si="23"/>
        <v>2681.8139383911434</v>
      </c>
      <c r="F128" s="2">
        <f t="shared" si="25"/>
        <v>1.6687164522770326</v>
      </c>
    </row>
    <row r="129" spans="2:6">
      <c r="B129" s="20">
        <f t="shared" si="31"/>
        <v>2.3399999999999969E-2</v>
      </c>
      <c r="C129" s="8">
        <f t="shared" si="22"/>
        <v>2.3867999999999969</v>
      </c>
      <c r="D129" s="2">
        <f t="shared" si="24"/>
        <v>156.28704003874032</v>
      </c>
      <c r="E129" s="3">
        <f t="shared" si="23"/>
        <v>2710.4757162558703</v>
      </c>
      <c r="F129" s="2">
        <f t="shared" si="25"/>
        <v>1.6865507917849674</v>
      </c>
    </row>
    <row r="130" spans="2:6">
      <c r="B130" s="20">
        <f t="shared" si="31"/>
        <v>2.3599999999999968E-2</v>
      </c>
      <c r="C130" s="8">
        <f t="shared" si="22"/>
        <v>2.4071999999999965</v>
      </c>
      <c r="D130" s="2">
        <f t="shared" si="24"/>
        <v>157.94600189584111</v>
      </c>
      <c r="E130" s="3">
        <f t="shared" si="23"/>
        <v>2739.2469811461124</v>
      </c>
      <c r="F130" s="2">
        <f t="shared" si="25"/>
        <v>1.704453257868789</v>
      </c>
    </row>
    <row r="131" spans="2:6">
      <c r="B131" s="20">
        <f t="shared" si="31"/>
        <v>2.3799999999999967E-2</v>
      </c>
      <c r="C131" s="8">
        <f t="shared" si="22"/>
        <v>2.4275999999999964</v>
      </c>
      <c r="D131" s="2">
        <f t="shared" si="24"/>
        <v>159.61130093132772</v>
      </c>
      <c r="E131" s="3">
        <f t="shared" si="23"/>
        <v>2768.1281512986207</v>
      </c>
      <c r="F131" s="2">
        <f t="shared" si="25"/>
        <v>1.7224241107697236</v>
      </c>
    </row>
    <row r="132" spans="2:6">
      <c r="B132" s="20">
        <f t="shared" si="31"/>
        <v>2.3999999999999966E-2</v>
      </c>
      <c r="C132" s="8">
        <f t="shared" si="22"/>
        <v>2.4479999999999964</v>
      </c>
      <c r="D132" s="2">
        <f t="shared" si="24"/>
        <v>161.28296135300781</v>
      </c>
      <c r="E132" s="3">
        <f t="shared" si="23"/>
        <v>2797.1196465477906</v>
      </c>
      <c r="F132" s="2">
        <f t="shared" si="25"/>
        <v>1.7404636117231058</v>
      </c>
    </row>
    <row r="133" spans="2:6">
      <c r="B133" s="20">
        <f t="shared" si="31"/>
        <v>2.4199999999999965E-2</v>
      </c>
      <c r="C133" s="8">
        <f t="shared" si="22"/>
        <v>2.4683999999999959</v>
      </c>
      <c r="D133" s="2">
        <f t="shared" si="24"/>
        <v>162.9610074611623</v>
      </c>
      <c r="E133" s="3">
        <f t="shared" si="23"/>
        <v>2826.2218883317732</v>
      </c>
      <c r="F133" s="2">
        <f t="shared" si="25"/>
        <v>1.7585720229621831</v>
      </c>
    </row>
    <row r="134" spans="2:6">
      <c r="B134" s="20">
        <f t="shared" si="31"/>
        <v>2.4399999999999963E-2</v>
      </c>
      <c r="C134" s="8">
        <f t="shared" si="22"/>
        <v>2.4887999999999963</v>
      </c>
      <c r="D134" s="2">
        <f t="shared" si="24"/>
        <v>164.64546364889839</v>
      </c>
      <c r="E134" s="3">
        <f t="shared" si="23"/>
        <v>2855.4352996986013</v>
      </c>
      <c r="F134" s="2">
        <f t="shared" si="25"/>
        <v>1.7767496077219249</v>
      </c>
    </row>
    <row r="135" spans="2:6">
      <c r="B135" s="20">
        <f t="shared" si="31"/>
        <v>2.4599999999999962E-2</v>
      </c>
      <c r="C135" s="8">
        <f t="shared" si="22"/>
        <v>2.5091999999999959</v>
      </c>
      <c r="D135" s="2">
        <f t="shared" si="24"/>
        <v>166.33635440250401</v>
      </c>
      <c r="E135" s="3">
        <f t="shared" si="23"/>
        <v>2884.7603053123335</v>
      </c>
      <c r="F135" s="2">
        <f t="shared" si="25"/>
        <v>1.7949966302428491</v>
      </c>
    </row>
    <row r="136" spans="2:6">
      <c r="B136" s="20">
        <f t="shared" si="31"/>
        <v>2.4799999999999961E-2</v>
      </c>
      <c r="C136" s="8">
        <f t="shared" si="22"/>
        <v>2.5295999999999963</v>
      </c>
      <c r="D136" s="2">
        <f t="shared" si="24"/>
        <v>168.03370430180388</v>
      </c>
      <c r="E136" s="3">
        <f t="shared" si="23"/>
        <v>2914.197331459231</v>
      </c>
      <c r="F136" s="2">
        <f t="shared" si="25"/>
        <v>1.813313355774862</v>
      </c>
    </row>
    <row r="137" spans="2:6">
      <c r="B137" s="20">
        <f t="shared" si="31"/>
        <v>2.499999999999996E-2</v>
      </c>
      <c r="C137" s="8">
        <f t="shared" si="22"/>
        <v>2.5499999999999958</v>
      </c>
      <c r="D137" s="2">
        <f t="shared" si="24"/>
        <v>169.73753802051698</v>
      </c>
      <c r="E137" s="3">
        <f t="shared" si="23"/>
        <v>2943.7468060539577</v>
      </c>
      <c r="F137" s="2">
        <f t="shared" si="25"/>
        <v>1.8317000505811185</v>
      </c>
    </row>
    <row r="138" spans="2:6">
      <c r="B138" s="20">
        <f t="shared" si="31"/>
        <v>2.5199999999999959E-2</v>
      </c>
      <c r="C138" s="8">
        <f t="shared" si="22"/>
        <v>2.5703999999999958</v>
      </c>
      <c r="D138" s="2">
        <f t="shared" si="24"/>
        <v>171.44788032661478</v>
      </c>
      <c r="E138" s="3">
        <f t="shared" si="23"/>
        <v>2973.4091586457912</v>
      </c>
      <c r="F138" s="2">
        <f t="shared" si="25"/>
        <v>1.8501569819418864</v>
      </c>
    </row>
    <row r="139" spans="2:6">
      <c r="B139" s="20">
        <f t="shared" si="31"/>
        <v>2.5399999999999957E-2</v>
      </c>
      <c r="C139" s="8">
        <f t="shared" si="22"/>
        <v>2.5907999999999953</v>
      </c>
      <c r="D139" s="2">
        <f t="shared" si="24"/>
        <v>173.164756082682</v>
      </c>
      <c r="E139" s="3">
        <f t="shared" si="23"/>
        <v>3003.1848204248813</v>
      </c>
      <c r="F139" s="2">
        <f t="shared" si="25"/>
        <v>1.8686844181584388</v>
      </c>
    </row>
    <row r="140" spans="2:6">
      <c r="B140" s="20">
        <f t="shared" si="31"/>
        <v>2.5599999999999956E-2</v>
      </c>
      <c r="C140" s="8">
        <f t="shared" si="22"/>
        <v>2.6111999999999953</v>
      </c>
      <c r="D140" s="2">
        <f t="shared" si="24"/>
        <v>174.88819024627719</v>
      </c>
      <c r="E140" s="3">
        <f t="shared" si="23"/>
        <v>3033.0742242285019</v>
      </c>
      <c r="F140" s="2">
        <f t="shared" si="25"/>
        <v>1.8872826285569482</v>
      </c>
    </row>
    <row r="141" spans="2:6">
      <c r="B141" s="20">
        <f t="shared" si="31"/>
        <v>2.5799999999999955E-2</v>
      </c>
      <c r="C141" s="8">
        <f t="shared" ref="C141:C155" si="33">$B141*((100-$A$9)/100)*$A$4*100</f>
        <v>2.6315999999999953</v>
      </c>
      <c r="D141" s="2">
        <f t="shared" si="24"/>
        <v>176.61820787029609</v>
      </c>
      <c r="E141" s="3">
        <f t="shared" ref="E141:E155" si="34">D141*$A$5</f>
        <v>3063.0778045473535</v>
      </c>
      <c r="F141" s="2">
        <f t="shared" si="25"/>
        <v>1.9059518834924036</v>
      </c>
    </row>
    <row r="142" spans="2:6">
      <c r="B142" s="20">
        <f t="shared" si="31"/>
        <v>2.5999999999999954E-2</v>
      </c>
      <c r="C142" s="8">
        <f t="shared" si="33"/>
        <v>2.6519999999999948</v>
      </c>
      <c r="D142" s="2">
        <f t="shared" ref="D142:D155" si="35">$A$6 * POWER(2.718,(C142+$A$8)/5.35) - $A$7</f>
        <v>178.35483410333558</v>
      </c>
      <c r="E142" s="3">
        <f t="shared" si="34"/>
        <v>3093.195997531875</v>
      </c>
      <c r="F142" s="2">
        <f t="shared" ref="F142:F155" si="36">$A$10*$D142/$A$7</f>
        <v>1.9246924543525419</v>
      </c>
    </row>
    <row r="143" spans="2:6">
      <c r="B143" s="20">
        <f t="shared" ref="B143:B155" si="37">B142+0.0002</f>
        <v>2.6199999999999952E-2</v>
      </c>
      <c r="C143" s="8">
        <f t="shared" si="33"/>
        <v>2.6723999999999948</v>
      </c>
      <c r="D143" s="2">
        <f t="shared" si="35"/>
        <v>180.09809419005956</v>
      </c>
      <c r="E143" s="3">
        <f t="shared" si="34"/>
        <v>3123.4292409985896</v>
      </c>
      <c r="F143" s="2">
        <f t="shared" si="36"/>
        <v>1.9435046135617937</v>
      </c>
    </row>
    <row r="144" spans="2:6">
      <c r="B144" s="20">
        <f t="shared" si="37"/>
        <v>2.6399999999999951E-2</v>
      </c>
      <c r="C144" s="8">
        <f t="shared" si="33"/>
        <v>2.6927999999999943</v>
      </c>
      <c r="D144" s="2">
        <f t="shared" si="35"/>
        <v>181.84801347156542</v>
      </c>
      <c r="E144" s="3">
        <f t="shared" si="34"/>
        <v>3153.7779744364607</v>
      </c>
      <c r="F144" s="2">
        <f t="shared" si="36"/>
        <v>1.9623886345852384</v>
      </c>
    </row>
    <row r="145" spans="2:6">
      <c r="B145" s="20">
        <f t="shared" si="37"/>
        <v>2.659999999999995E-2</v>
      </c>
      <c r="C145" s="8">
        <f t="shared" si="33"/>
        <v>2.7131999999999947</v>
      </c>
      <c r="D145" s="2">
        <f t="shared" si="35"/>
        <v>183.60461738575293</v>
      </c>
      <c r="E145" s="3">
        <f t="shared" si="34"/>
        <v>3184.2426390132869</v>
      </c>
      <c r="F145" s="2">
        <f t="shared" si="36"/>
        <v>1.9813447919325855</v>
      </c>
    </row>
    <row r="146" spans="2:6">
      <c r="B146" s="20">
        <f t="shared" si="37"/>
        <v>2.6799999999999949E-2</v>
      </c>
      <c r="C146" s="8">
        <f t="shared" si="33"/>
        <v>2.7335999999999947</v>
      </c>
      <c r="D146" s="2">
        <f t="shared" si="35"/>
        <v>185.3679314676935</v>
      </c>
      <c r="E146" s="3">
        <f t="shared" si="34"/>
        <v>3214.8236775821101</v>
      </c>
      <c r="F146" s="2">
        <f t="shared" si="36"/>
        <v>2.0003733611621599</v>
      </c>
    </row>
    <row r="147" spans="2:6">
      <c r="B147" s="20">
        <f t="shared" si="37"/>
        <v>2.6999999999999948E-2</v>
      </c>
      <c r="C147" s="8">
        <f t="shared" si="33"/>
        <v>2.7539999999999942</v>
      </c>
      <c r="D147" s="2">
        <f t="shared" si="35"/>
        <v>187.13798135000184</v>
      </c>
      <c r="E147" s="3">
        <f t="shared" si="34"/>
        <v>3245.521534687658</v>
      </c>
      <c r="F147" s="2">
        <f t="shared" si="36"/>
        <v>2.019474618884912</v>
      </c>
    </row>
    <row r="148" spans="2:6">
      <c r="B148" s="20">
        <f t="shared" si="37"/>
        <v>2.7199999999999946E-2</v>
      </c>
      <c r="C148" s="8">
        <f t="shared" si="33"/>
        <v>2.7743999999999942</v>
      </c>
      <c r="D148" s="2">
        <f t="shared" si="35"/>
        <v>188.91479276320842</v>
      </c>
      <c r="E148" s="3">
        <f t="shared" si="34"/>
        <v>3276.3366565728056</v>
      </c>
      <c r="F148" s="2">
        <f t="shared" si="36"/>
        <v>2.0386488427684362</v>
      </c>
    </row>
    <row r="149" spans="2:6">
      <c r="B149" s="20">
        <f t="shared" si="37"/>
        <v>2.7399999999999945E-2</v>
      </c>
      <c r="C149" s="8">
        <f t="shared" si="33"/>
        <v>2.7947999999999937</v>
      </c>
      <c r="D149" s="2">
        <f t="shared" si="35"/>
        <v>190.69839153613339</v>
      </c>
      <c r="E149" s="3">
        <f t="shared" si="34"/>
        <v>3307.2694911850585</v>
      </c>
      <c r="F149" s="2">
        <f t="shared" si="36"/>
        <v>2.0578963115410076</v>
      </c>
    </row>
    <row r="150" spans="2:6">
      <c r="B150" s="20">
        <f t="shared" si="37"/>
        <v>2.7599999999999944E-2</v>
      </c>
      <c r="C150" s="8">
        <f t="shared" si="33"/>
        <v>2.8151999999999946</v>
      </c>
      <c r="D150" s="2">
        <f t="shared" si="35"/>
        <v>192.4888035962623</v>
      </c>
      <c r="E150" s="3">
        <f t="shared" si="34"/>
        <v>3338.3204881830702</v>
      </c>
      <c r="F150" s="2">
        <f t="shared" si="36"/>
        <v>2.0772173049956364</v>
      </c>
    </row>
    <row r="151" spans="2:6">
      <c r="B151" s="20">
        <f t="shared" si="37"/>
        <v>2.7799999999999943E-2</v>
      </c>
      <c r="C151" s="8">
        <f t="shared" si="33"/>
        <v>2.8355999999999941</v>
      </c>
      <c r="D151" s="2">
        <f t="shared" si="35"/>
        <v>194.28605497012217</v>
      </c>
      <c r="E151" s="3">
        <f t="shared" si="34"/>
        <v>3369.4900989431635</v>
      </c>
      <c r="F151" s="2">
        <f t="shared" si="36"/>
        <v>2.0966121039941239</v>
      </c>
    </row>
    <row r="152" spans="2:6">
      <c r="B152" s="20">
        <f t="shared" si="37"/>
        <v>2.7999999999999942E-2</v>
      </c>
      <c r="C152" s="8">
        <f t="shared" si="33"/>
        <v>2.8559999999999941</v>
      </c>
      <c r="D152" s="2">
        <f t="shared" si="35"/>
        <v>196.09017178366139</v>
      </c>
      <c r="E152" s="3">
        <f t="shared" si="34"/>
        <v>3400.77877656592</v>
      </c>
      <c r="F152" s="2">
        <f t="shared" si="36"/>
        <v>2.1160809904711662</v>
      </c>
    </row>
    <row r="153" spans="2:6">
      <c r="B153" s="20">
        <f t="shared" si="37"/>
        <v>2.819999999999994E-2</v>
      </c>
      <c r="C153" s="8">
        <f t="shared" si="33"/>
        <v>2.8763999999999936</v>
      </c>
      <c r="D153" s="2">
        <f t="shared" si="35"/>
        <v>197.90118026262809</v>
      </c>
      <c r="E153" s="3">
        <f t="shared" si="34"/>
        <v>3432.1869758827411</v>
      </c>
      <c r="F153" s="2">
        <f t="shared" si="36"/>
        <v>2.1356242474384328</v>
      </c>
    </row>
    <row r="154" spans="2:6">
      <c r="B154" s="20">
        <f t="shared" si="37"/>
        <v>2.8399999999999939E-2</v>
      </c>
      <c r="C154" s="8">
        <f t="shared" si="33"/>
        <v>2.8967999999999936</v>
      </c>
      <c r="D154" s="2">
        <f t="shared" si="35"/>
        <v>199.71910673295184</v>
      </c>
      <c r="E154" s="3">
        <f t="shared" si="34"/>
        <v>3463.7151534624677</v>
      </c>
      <c r="F154" s="2">
        <f t="shared" si="36"/>
        <v>2.1552421589886892</v>
      </c>
    </row>
    <row r="155" spans="2:6">
      <c r="B155" s="20">
        <f t="shared" si="37"/>
        <v>2.8599999999999938E-2</v>
      </c>
      <c r="C155" s="8">
        <f t="shared" si="33"/>
        <v>2.9171999999999936</v>
      </c>
      <c r="D155" s="2">
        <f t="shared" si="35"/>
        <v>201.54397762112654</v>
      </c>
      <c r="E155" s="3">
        <f t="shared" si="34"/>
        <v>3495.3637676180224</v>
      </c>
      <c r="F155" s="2">
        <f t="shared" si="36"/>
        <v>2.1749350102999268</v>
      </c>
    </row>
    <row r="156" spans="2:6">
      <c r="B156" s="10"/>
      <c r="C156" s="11"/>
    </row>
    <row r="157" spans="2:6">
      <c r="B157" s="10"/>
      <c r="C157" s="11"/>
    </row>
    <row r="158" spans="2:6">
      <c r="B158" s="10"/>
      <c r="C158" s="11"/>
    </row>
    <row r="159" spans="2:6">
      <c r="B159" s="7"/>
      <c r="C159" s="5"/>
    </row>
    <row r="160" spans="2:6">
      <c r="B160" s="7"/>
      <c r="C160" s="5"/>
    </row>
    <row r="161" spans="2:3">
      <c r="B161" s="7"/>
      <c r="C161" s="5"/>
    </row>
    <row r="162" spans="2:3">
      <c r="B162" s="7"/>
      <c r="C162" s="5"/>
    </row>
    <row r="163" spans="2:3">
      <c r="B163" s="7"/>
      <c r="C163" s="5"/>
    </row>
    <row r="164" spans="2:3">
      <c r="B164" s="7"/>
      <c r="C164" s="5"/>
    </row>
    <row r="165" spans="2:3">
      <c r="B165" s="7"/>
      <c r="C165" s="5"/>
    </row>
    <row r="166" spans="2:3">
      <c r="B166" s="7"/>
      <c r="C166" s="5"/>
    </row>
    <row r="167" spans="2:3">
      <c r="B167" s="7"/>
      <c r="C167" s="5"/>
    </row>
    <row r="168" spans="2:3">
      <c r="B168" s="7"/>
      <c r="C168" s="5"/>
    </row>
    <row r="169" spans="2:3">
      <c r="B169" s="7"/>
      <c r="C169" s="5"/>
    </row>
    <row r="170" spans="2:3">
      <c r="B170" s="7"/>
      <c r="C170" s="5"/>
    </row>
    <row r="171" spans="2:3">
      <c r="B171" s="7"/>
      <c r="C171" s="5"/>
    </row>
    <row r="172" spans="2:3">
      <c r="B172" s="7"/>
      <c r="C172" s="5"/>
    </row>
    <row r="173" spans="2:3">
      <c r="B173" s="7"/>
      <c r="C173" s="5"/>
    </row>
    <row r="174" spans="2:3">
      <c r="B174" s="7"/>
      <c r="C174" s="5"/>
    </row>
  </sheetData>
  <mergeCells count="4">
    <mergeCell ref="B3:I3"/>
    <mergeCell ref="O11:Q11"/>
    <mergeCell ref="S11:U11"/>
    <mergeCell ref="W11:Y11"/>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3:R68"/>
  <sheetViews>
    <sheetView topLeftCell="A34" workbookViewId="0">
      <selection activeCell="C71" sqref="C71"/>
    </sheetView>
  </sheetViews>
  <sheetFormatPr defaultRowHeight="15"/>
  <cols>
    <col min="2" max="2" width="19" customWidth="1"/>
    <col min="3" max="3" width="17.42578125" customWidth="1"/>
    <col min="4" max="4" width="23.5703125" customWidth="1"/>
  </cols>
  <sheetData>
    <row r="3" spans="1:18" ht="15.75" thickBot="1"/>
    <row r="4" spans="1:18" ht="19.5" customHeight="1" thickBot="1">
      <c r="A4" s="22">
        <v>1.08</v>
      </c>
      <c r="B4" s="26" t="s">
        <v>26</v>
      </c>
      <c r="C4" s="103" t="s">
        <v>17</v>
      </c>
      <c r="D4" s="104"/>
      <c r="E4" s="104"/>
      <c r="F4" s="104"/>
      <c r="G4" s="104"/>
      <c r="H4" s="104"/>
      <c r="I4" s="104"/>
      <c r="J4" s="104"/>
      <c r="K4" s="104"/>
      <c r="L4" s="104"/>
      <c r="M4" s="104"/>
      <c r="N4" s="104"/>
      <c r="O4" s="104"/>
      <c r="P4" s="104"/>
      <c r="Q4" s="104"/>
      <c r="R4" s="104"/>
    </row>
    <row r="5" spans="1:18" ht="18" thickBot="1">
      <c r="A5" s="23">
        <v>0.5</v>
      </c>
      <c r="B5" s="26" t="s">
        <v>27</v>
      </c>
      <c r="C5" s="103" t="s">
        <v>18</v>
      </c>
      <c r="D5" s="104"/>
      <c r="E5" s="104"/>
      <c r="F5" s="104"/>
      <c r="G5" s="104"/>
      <c r="H5" s="104"/>
      <c r="I5" s="104"/>
      <c r="J5" s="104"/>
      <c r="K5" s="104"/>
      <c r="L5" s="104"/>
      <c r="M5" s="104"/>
      <c r="N5" s="104"/>
      <c r="O5" s="104"/>
      <c r="P5" s="104"/>
      <c r="Q5" s="104"/>
      <c r="R5" s="104"/>
    </row>
    <row r="6" spans="1:18" ht="21" customHeight="1" thickBot="1">
      <c r="A6" s="23">
        <v>0.43</v>
      </c>
      <c r="B6" s="26" t="s">
        <v>28</v>
      </c>
      <c r="C6" s="103" t="s">
        <v>19</v>
      </c>
      <c r="D6" s="104"/>
      <c r="E6" s="104"/>
      <c r="F6" s="104"/>
      <c r="G6" s="104"/>
      <c r="H6" s="104"/>
      <c r="I6" s="104"/>
      <c r="J6" s="104"/>
      <c r="K6" s="104"/>
      <c r="L6" s="104"/>
      <c r="M6" s="104"/>
      <c r="N6" s="104"/>
      <c r="O6" s="104"/>
      <c r="P6" s="104"/>
      <c r="Q6" s="104"/>
      <c r="R6" s="104"/>
    </row>
    <row r="7" spans="1:18" ht="15.75" thickBot="1">
      <c r="A7" s="23">
        <v>0.75</v>
      </c>
      <c r="B7" s="26" t="s">
        <v>29</v>
      </c>
      <c r="C7" s="103" t="s">
        <v>20</v>
      </c>
      <c r="D7" s="104"/>
      <c r="E7" s="104"/>
      <c r="F7" s="104"/>
      <c r="G7" s="104"/>
      <c r="H7" s="104"/>
      <c r="I7" s="104"/>
      <c r="J7" s="104"/>
      <c r="K7" s="104"/>
      <c r="L7" s="104"/>
      <c r="M7" s="104"/>
      <c r="N7" s="104"/>
      <c r="O7" s="104"/>
      <c r="P7" s="104"/>
      <c r="Q7" s="104"/>
      <c r="R7" s="104"/>
    </row>
    <row r="8" spans="1:18" ht="18" thickBot="1">
      <c r="A8" s="23">
        <v>0.57999999999999996</v>
      </c>
      <c r="B8" s="26" t="s">
        <v>30</v>
      </c>
      <c r="C8" s="103" t="s">
        <v>21</v>
      </c>
      <c r="D8" s="104"/>
      <c r="E8" s="104"/>
      <c r="F8" s="104"/>
      <c r="G8" s="104"/>
      <c r="H8" s="104"/>
      <c r="I8" s="104"/>
      <c r="J8" s="104"/>
      <c r="K8" s="104"/>
      <c r="L8" s="104"/>
      <c r="M8" s="104"/>
      <c r="N8" s="104"/>
      <c r="O8" s="104"/>
      <c r="P8" s="104"/>
      <c r="Q8" s="104"/>
      <c r="R8" s="104"/>
    </row>
    <row r="9" spans="1:18" ht="18" thickBot="1">
      <c r="A9" s="23">
        <v>0.15</v>
      </c>
      <c r="B9" s="26" t="s">
        <v>31</v>
      </c>
      <c r="C9" s="103" t="s">
        <v>22</v>
      </c>
      <c r="D9" s="104"/>
      <c r="E9" s="104"/>
      <c r="F9" s="104"/>
      <c r="G9" s="104"/>
      <c r="H9" s="104"/>
      <c r="I9" s="104"/>
      <c r="J9" s="104"/>
      <c r="K9" s="104"/>
      <c r="L9" s="104"/>
      <c r="M9" s="104"/>
      <c r="N9" s="104"/>
      <c r="O9" s="104"/>
      <c r="P9" s="104"/>
      <c r="Q9" s="104"/>
      <c r="R9" s="104"/>
    </row>
    <row r="10" spans="1:18" ht="15.75" thickBot="1">
      <c r="A10" s="23">
        <v>-0.1</v>
      </c>
      <c r="B10" s="26" t="s">
        <v>32</v>
      </c>
      <c r="C10" s="103" t="s">
        <v>23</v>
      </c>
      <c r="D10" s="104"/>
      <c r="E10" s="104"/>
      <c r="F10" s="104"/>
      <c r="G10" s="104"/>
      <c r="H10" s="104"/>
      <c r="I10" s="104"/>
      <c r="J10" s="104"/>
      <c r="K10" s="104"/>
      <c r="L10" s="104"/>
      <c r="M10" s="104"/>
      <c r="N10" s="104"/>
      <c r="O10" s="104"/>
      <c r="P10" s="104"/>
      <c r="Q10" s="104"/>
      <c r="R10" s="104"/>
    </row>
    <row r="11" spans="1:18" ht="15.75" thickBot="1">
      <c r="A11" s="24">
        <v>3.39</v>
      </c>
      <c r="B11" s="26" t="s">
        <v>33</v>
      </c>
      <c r="C11" s="103" t="s">
        <v>24</v>
      </c>
      <c r="D11" s="104"/>
      <c r="E11" s="104"/>
      <c r="F11" s="104"/>
      <c r="G11" s="104"/>
      <c r="H11" s="104"/>
      <c r="I11" s="104"/>
      <c r="J11" s="104"/>
      <c r="K11" s="104"/>
      <c r="L11" s="104"/>
      <c r="M11" s="104"/>
      <c r="N11" s="104"/>
      <c r="O11" s="104"/>
      <c r="P11" s="104"/>
      <c r="Q11" s="104"/>
      <c r="R11" s="104"/>
    </row>
    <row r="12" spans="1:18">
      <c r="A12" s="29"/>
      <c r="B12" s="29"/>
      <c r="C12" s="28"/>
      <c r="D12" s="25"/>
      <c r="E12" s="25"/>
      <c r="F12" s="25"/>
      <c r="G12" s="25"/>
      <c r="H12" s="25"/>
      <c r="I12" s="25"/>
      <c r="J12" s="25"/>
      <c r="K12" s="25"/>
      <c r="L12" s="25"/>
      <c r="M12" s="25"/>
      <c r="N12" s="25"/>
      <c r="O12" s="25"/>
      <c r="P12" s="25"/>
      <c r="Q12" s="25"/>
      <c r="R12" s="25"/>
    </row>
    <row r="13" spans="1:18">
      <c r="A13" s="29">
        <v>1625</v>
      </c>
      <c r="B13" s="101" t="s">
        <v>49</v>
      </c>
      <c r="C13" s="102"/>
      <c r="D13" s="25"/>
      <c r="E13" s="25"/>
      <c r="F13" s="25"/>
      <c r="G13" s="25"/>
      <c r="H13" s="25"/>
      <c r="I13" s="25"/>
      <c r="J13" s="25"/>
      <c r="K13" s="25"/>
      <c r="L13" s="25"/>
      <c r="M13" s="25"/>
      <c r="N13" s="25"/>
      <c r="O13" s="25"/>
      <c r="P13" s="25"/>
      <c r="Q13" s="25"/>
      <c r="R13" s="25"/>
    </row>
    <row r="15" spans="1:18">
      <c r="A15" t="s">
        <v>40</v>
      </c>
    </row>
    <row r="16" spans="1:18">
      <c r="D16" s="26" t="s">
        <v>26</v>
      </c>
      <c r="E16" s="27">
        <f>$A$4</f>
        <v>1.08</v>
      </c>
    </row>
    <row r="17" spans="1:6">
      <c r="D17" s="26" t="s">
        <v>27</v>
      </c>
      <c r="E17" s="5">
        <f>$A$5</f>
        <v>0.5</v>
      </c>
    </row>
    <row r="18" spans="1:6">
      <c r="A18" t="s">
        <v>36</v>
      </c>
      <c r="C18">
        <v>0.51</v>
      </c>
      <c r="D18" s="26" t="s">
        <v>28</v>
      </c>
      <c r="E18" s="5">
        <f>$A$6-C18</f>
        <v>-8.0000000000000016E-2</v>
      </c>
      <c r="F18" t="s">
        <v>42</v>
      </c>
    </row>
    <row r="19" spans="1:6">
      <c r="A19" t="s">
        <v>25</v>
      </c>
      <c r="C19">
        <v>40</v>
      </c>
      <c r="D19" s="26" t="s">
        <v>29</v>
      </c>
      <c r="E19" s="5">
        <f>$A$7*C19/100</f>
        <v>0.3</v>
      </c>
      <c r="F19" t="s">
        <v>43</v>
      </c>
    </row>
    <row r="20" spans="1:6">
      <c r="A20" t="s">
        <v>35</v>
      </c>
      <c r="C20">
        <v>0</v>
      </c>
      <c r="D20" s="26" t="s">
        <v>30</v>
      </c>
      <c r="E20" s="5">
        <f>$A$8*(100-C20)/100</f>
        <v>0.57999999999999996</v>
      </c>
      <c r="F20" t="s">
        <v>40</v>
      </c>
    </row>
    <row r="21" spans="1:6">
      <c r="A21" t="s">
        <v>34</v>
      </c>
      <c r="C21">
        <v>0</v>
      </c>
      <c r="D21" s="26" t="s">
        <v>31</v>
      </c>
      <c r="E21" s="5">
        <f>$A$9*(100-C21)/100</f>
        <v>0.15</v>
      </c>
      <c r="F21" t="s">
        <v>40</v>
      </c>
    </row>
    <row r="22" spans="1:6">
      <c r="D22" s="26" t="s">
        <v>32</v>
      </c>
      <c r="E22" s="5">
        <f>$A$10</f>
        <v>-0.1</v>
      </c>
      <c r="F22" t="s">
        <v>44</v>
      </c>
    </row>
    <row r="23" spans="1:6">
      <c r="D23" s="26" t="s">
        <v>37</v>
      </c>
      <c r="E23" s="27">
        <f>SUM(E16:E22)</f>
        <v>2.4299999999999997</v>
      </c>
    </row>
    <row r="24" spans="1:6" ht="16.5" customHeight="1">
      <c r="D24" s="26" t="s">
        <v>36</v>
      </c>
      <c r="E24" s="5">
        <f>C18</f>
        <v>0.51</v>
      </c>
    </row>
    <row r="25" spans="1:6">
      <c r="A25" t="s">
        <v>51</v>
      </c>
      <c r="C25">
        <v>60</v>
      </c>
      <c r="D25" s="26" t="s">
        <v>38</v>
      </c>
      <c r="E25" s="5">
        <f>$A$7*C25/100</f>
        <v>0.45</v>
      </c>
    </row>
    <row r="26" spans="1:6">
      <c r="D26" s="26" t="s">
        <v>39</v>
      </c>
      <c r="E26" s="27">
        <f>SUM(E23:E25)</f>
        <v>3.3899999999999997</v>
      </c>
    </row>
    <row r="27" spans="1:6">
      <c r="E27" s="5"/>
    </row>
    <row r="28" spans="1:6">
      <c r="A28" t="s">
        <v>41</v>
      </c>
      <c r="E28" s="5"/>
    </row>
    <row r="29" spans="1:6">
      <c r="D29" s="26" t="s">
        <v>26</v>
      </c>
      <c r="E29" s="27">
        <f>$A$4</f>
        <v>1.08</v>
      </c>
    </row>
    <row r="30" spans="1:6">
      <c r="D30" s="26" t="s">
        <v>27</v>
      </c>
      <c r="E30" s="5">
        <f>$A$5</f>
        <v>0.5</v>
      </c>
    </row>
    <row r="31" spans="1:6">
      <c r="A31" t="s">
        <v>36</v>
      </c>
      <c r="C31">
        <v>0.43</v>
      </c>
      <c r="D31" s="26" t="s">
        <v>28</v>
      </c>
      <c r="E31" s="5">
        <f>$A$6-C31</f>
        <v>0</v>
      </c>
      <c r="F31" t="s">
        <v>45</v>
      </c>
    </row>
    <row r="32" spans="1:6">
      <c r="A32" t="s">
        <v>25</v>
      </c>
      <c r="C32">
        <v>30</v>
      </c>
      <c r="D32" s="26" t="s">
        <v>29</v>
      </c>
      <c r="E32" s="5">
        <f>$A$7*C32/100</f>
        <v>0.22500000000000001</v>
      </c>
      <c r="F32" t="s">
        <v>46</v>
      </c>
    </row>
    <row r="33" spans="1:6">
      <c r="A33" t="s">
        <v>35</v>
      </c>
      <c r="C33">
        <v>50</v>
      </c>
      <c r="D33" s="26" t="s">
        <v>30</v>
      </c>
      <c r="E33" s="5">
        <f>$A$8*(100-C33)/100</f>
        <v>0.28999999999999998</v>
      </c>
      <c r="F33" t="s">
        <v>47</v>
      </c>
    </row>
    <row r="34" spans="1:6">
      <c r="A34" t="s">
        <v>34</v>
      </c>
      <c r="C34">
        <v>50</v>
      </c>
      <c r="D34" s="26" t="s">
        <v>31</v>
      </c>
      <c r="E34" s="5">
        <f>$A$9*(100-C34)/100</f>
        <v>7.4999999999999997E-2</v>
      </c>
      <c r="F34" t="s">
        <v>47</v>
      </c>
    </row>
    <row r="35" spans="1:6">
      <c r="D35" s="26" t="s">
        <v>32</v>
      </c>
      <c r="E35" s="5">
        <f>$A$10</f>
        <v>-0.1</v>
      </c>
      <c r="F35" t="s">
        <v>44</v>
      </c>
    </row>
    <row r="36" spans="1:6">
      <c r="D36" s="26" t="s">
        <v>37</v>
      </c>
      <c r="E36" s="27">
        <f>SUM(E29:E35)</f>
        <v>2.0700000000000003</v>
      </c>
    </row>
    <row r="37" spans="1:6">
      <c r="D37" s="26" t="s">
        <v>36</v>
      </c>
      <c r="E37" s="5">
        <f>C31</f>
        <v>0.43</v>
      </c>
    </row>
    <row r="38" spans="1:6">
      <c r="A38" t="s">
        <v>51</v>
      </c>
      <c r="C38">
        <v>40</v>
      </c>
      <c r="D38" s="26" t="s">
        <v>38</v>
      </c>
      <c r="E38" s="5">
        <f>$A$7*C38/100</f>
        <v>0.3</v>
      </c>
      <c r="F38" t="s">
        <v>46</v>
      </c>
    </row>
    <row r="39" spans="1:6">
      <c r="D39" s="26" t="s">
        <v>39</v>
      </c>
      <c r="E39" s="27">
        <f>SUM(E36:E38)</f>
        <v>2.8000000000000003</v>
      </c>
    </row>
    <row r="40" spans="1:6">
      <c r="A40" t="s">
        <v>48</v>
      </c>
      <c r="C40">
        <v>50</v>
      </c>
      <c r="D40" s="26" t="s">
        <v>50</v>
      </c>
      <c r="E40" s="30">
        <f>$A$13*C40*C34/100/1000</f>
        <v>40.625</v>
      </c>
    </row>
    <row r="43" spans="1:6">
      <c r="A43" t="s">
        <v>52</v>
      </c>
    </row>
    <row r="44" spans="1:6">
      <c r="D44" s="26" t="s">
        <v>26</v>
      </c>
      <c r="E44" s="27">
        <f>$A$4</f>
        <v>1.08</v>
      </c>
    </row>
    <row r="45" spans="1:6">
      <c r="D45" s="26" t="s">
        <v>27</v>
      </c>
      <c r="E45" s="5">
        <f>$A$5</f>
        <v>0.5</v>
      </c>
    </row>
    <row r="46" spans="1:6">
      <c r="A46" t="s">
        <v>36</v>
      </c>
      <c r="C46">
        <v>0.46</v>
      </c>
      <c r="D46" s="26" t="s">
        <v>28</v>
      </c>
      <c r="E46" s="5">
        <f>$A$6-C46</f>
        <v>-3.0000000000000027E-2</v>
      </c>
      <c r="F46" t="s">
        <v>42</v>
      </c>
    </row>
    <row r="47" spans="1:6">
      <c r="A47" t="s">
        <v>25</v>
      </c>
      <c r="C47">
        <v>20</v>
      </c>
      <c r="D47" s="26" t="s">
        <v>29</v>
      </c>
      <c r="E47" s="5">
        <f>$A$7*C47/100</f>
        <v>0.15</v>
      </c>
      <c r="F47" t="s">
        <v>43</v>
      </c>
    </row>
    <row r="48" spans="1:6">
      <c r="A48" t="s">
        <v>35</v>
      </c>
      <c r="C48">
        <v>0</v>
      </c>
      <c r="D48" s="26" t="s">
        <v>30</v>
      </c>
      <c r="E48" s="5">
        <f>$A$8*(100-C48)/100</f>
        <v>0.57999999999999996</v>
      </c>
      <c r="F48" t="s">
        <v>40</v>
      </c>
    </row>
    <row r="49" spans="1:14">
      <c r="A49" t="s">
        <v>34</v>
      </c>
      <c r="C49">
        <v>0</v>
      </c>
      <c r="D49" s="26" t="s">
        <v>31</v>
      </c>
      <c r="E49" s="5">
        <f>$A$9*(100-C49)/100</f>
        <v>0.15</v>
      </c>
      <c r="F49" t="s">
        <v>40</v>
      </c>
    </row>
    <row r="50" spans="1:14">
      <c r="D50" s="26" t="s">
        <v>32</v>
      </c>
      <c r="E50" s="5">
        <f>$A$10</f>
        <v>-0.1</v>
      </c>
      <c r="F50" t="s">
        <v>44</v>
      </c>
    </row>
    <row r="51" spans="1:14">
      <c r="D51" s="26" t="s">
        <v>37</v>
      </c>
      <c r="E51" s="27">
        <f>SUM(E44:E50)</f>
        <v>2.3299999999999996</v>
      </c>
    </row>
    <row r="52" spans="1:14">
      <c r="D52" s="26" t="s">
        <v>36</v>
      </c>
      <c r="E52" s="5">
        <f>C46</f>
        <v>0.46</v>
      </c>
    </row>
    <row r="53" spans="1:14">
      <c r="A53" t="s">
        <v>51</v>
      </c>
      <c r="C53">
        <v>30</v>
      </c>
      <c r="D53" s="26" t="s">
        <v>38</v>
      </c>
      <c r="E53" s="5">
        <f>$A$7*C53/100</f>
        <v>0.22500000000000001</v>
      </c>
    </row>
    <row r="54" spans="1:14">
      <c r="D54" s="26" t="s">
        <v>39</v>
      </c>
      <c r="E54" s="27">
        <f>SUM(E51:E53)</f>
        <v>3.0149999999999997</v>
      </c>
    </row>
    <row r="55" spans="1:14">
      <c r="E55" s="5"/>
    </row>
    <row r="56" spans="1:14">
      <c r="A56" t="s">
        <v>53</v>
      </c>
      <c r="E56" s="5"/>
    </row>
    <row r="57" spans="1:14">
      <c r="D57" s="26" t="s">
        <v>26</v>
      </c>
      <c r="E57" s="27">
        <f>$A$4</f>
        <v>1.08</v>
      </c>
    </row>
    <row r="58" spans="1:14">
      <c r="D58" s="26" t="s">
        <v>27</v>
      </c>
      <c r="E58" s="5">
        <f>$A$5</f>
        <v>0.5</v>
      </c>
    </row>
    <row r="59" spans="1:14">
      <c r="A59" t="s">
        <v>36</v>
      </c>
      <c r="C59">
        <v>0.43</v>
      </c>
      <c r="D59" s="26" t="s">
        <v>28</v>
      </c>
      <c r="E59" s="5">
        <f>$A$6-C59</f>
        <v>0</v>
      </c>
      <c r="F59" t="s">
        <v>45</v>
      </c>
    </row>
    <row r="60" spans="1:14">
      <c r="A60" t="s">
        <v>25</v>
      </c>
      <c r="C60">
        <v>10</v>
      </c>
      <c r="D60" s="26" t="s">
        <v>29</v>
      </c>
      <c r="E60" s="5">
        <f>$A$7*C60/100</f>
        <v>7.4999999999999997E-2</v>
      </c>
      <c r="F60" t="s">
        <v>46</v>
      </c>
    </row>
    <row r="61" spans="1:14">
      <c r="A61" t="s">
        <v>35</v>
      </c>
      <c r="C61">
        <v>50</v>
      </c>
      <c r="D61" s="26" t="s">
        <v>30</v>
      </c>
      <c r="E61" s="5">
        <f>$A$8*(100-C61)/100</f>
        <v>0.28999999999999998</v>
      </c>
      <c r="F61" t="s">
        <v>47</v>
      </c>
    </row>
    <row r="62" spans="1:14">
      <c r="A62" t="s">
        <v>34</v>
      </c>
      <c r="C62">
        <v>50</v>
      </c>
      <c r="D62" s="26" t="s">
        <v>31</v>
      </c>
      <c r="E62" s="5">
        <f>$A$9*(100-C62)/100</f>
        <v>7.4999999999999997E-2</v>
      </c>
      <c r="F62" t="s">
        <v>47</v>
      </c>
    </row>
    <row r="63" spans="1:14">
      <c r="D63" s="26" t="s">
        <v>32</v>
      </c>
      <c r="E63" s="5">
        <f>$A$10</f>
        <v>-0.1</v>
      </c>
      <c r="F63" t="s">
        <v>44</v>
      </c>
    </row>
    <row r="64" spans="1:14">
      <c r="D64" s="26" t="s">
        <v>37</v>
      </c>
      <c r="E64" s="27">
        <f>SUM(E57:E63)</f>
        <v>1.92</v>
      </c>
      <c r="N64">
        <f>0.82/4.5</f>
        <v>0.1822222222222222</v>
      </c>
    </row>
    <row r="65" spans="1:6">
      <c r="D65" s="26" t="s">
        <v>36</v>
      </c>
      <c r="E65" s="5">
        <f>C59</f>
        <v>0.43</v>
      </c>
    </row>
    <row r="66" spans="1:6">
      <c r="A66" t="s">
        <v>51</v>
      </c>
      <c r="C66">
        <v>15</v>
      </c>
      <c r="D66" s="26" t="s">
        <v>38</v>
      </c>
      <c r="E66" s="5">
        <f>$A$7*C66/100</f>
        <v>0.1125</v>
      </c>
      <c r="F66" t="s">
        <v>46</v>
      </c>
    </row>
    <row r="67" spans="1:6">
      <c r="D67" s="26" t="s">
        <v>39</v>
      </c>
      <c r="E67" s="27">
        <f>SUM(E64:E66)</f>
        <v>2.4624999999999999</v>
      </c>
    </row>
    <row r="68" spans="1:6">
      <c r="A68" t="s">
        <v>48</v>
      </c>
      <c r="C68">
        <v>50</v>
      </c>
      <c r="D68" s="26" t="s">
        <v>50</v>
      </c>
      <c r="E68" s="30">
        <f>$A$13*C68*C62/100/1000</f>
        <v>40.625</v>
      </c>
    </row>
  </sheetData>
  <mergeCells count="9">
    <mergeCell ref="B13:C13"/>
    <mergeCell ref="C4:R4"/>
    <mergeCell ref="C5:R5"/>
    <mergeCell ref="C6:R6"/>
    <mergeCell ref="C7:R7"/>
    <mergeCell ref="C8:R8"/>
    <mergeCell ref="C10:R10"/>
    <mergeCell ref="C9:R9"/>
    <mergeCell ref="C11:R1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X117"/>
  <sheetViews>
    <sheetView workbookViewId="0">
      <selection activeCell="D33" sqref="D32:D33"/>
    </sheetView>
  </sheetViews>
  <sheetFormatPr defaultRowHeight="15"/>
  <sheetData>
    <row r="1" spans="1:24" ht="15.75">
      <c r="A1">
        <v>0</v>
      </c>
      <c r="B1" s="31">
        <v>1900</v>
      </c>
      <c r="C1">
        <v>-7.5499999999999998E-2</v>
      </c>
      <c r="E1" s="31">
        <v>1900</v>
      </c>
      <c r="F1">
        <v>-7.5499999999999998E-2</v>
      </c>
      <c r="H1" t="s">
        <v>55</v>
      </c>
    </row>
    <row r="2" spans="1:24" ht="15.75">
      <c r="A2">
        <f>B2-$B$1</f>
        <v>2</v>
      </c>
      <c r="B2" s="31">
        <v>1902</v>
      </c>
      <c r="C2">
        <v>-0.2964</v>
      </c>
      <c r="E2" s="31">
        <v>1901</v>
      </c>
      <c r="K2" s="32" t="s">
        <v>56</v>
      </c>
    </row>
    <row r="3" spans="1:24" ht="15.75">
      <c r="A3">
        <f t="shared" ref="A3:A33" si="0">B3-$B$1</f>
        <v>5</v>
      </c>
      <c r="B3" s="31">
        <v>1905</v>
      </c>
      <c r="C3">
        <v>-0.19359999999999999</v>
      </c>
      <c r="E3" s="31">
        <v>1902</v>
      </c>
      <c r="F3">
        <v>-0.2964</v>
      </c>
      <c r="H3" t="s">
        <v>55</v>
      </c>
      <c r="K3" t="s">
        <v>57</v>
      </c>
      <c r="V3" t="s">
        <v>58</v>
      </c>
      <c r="W3" t="s">
        <v>59</v>
      </c>
      <c r="X3" t="s">
        <v>60</v>
      </c>
    </row>
    <row r="4" spans="1:24" ht="15.75">
      <c r="A4">
        <f t="shared" si="0"/>
        <v>11</v>
      </c>
      <c r="B4" s="31">
        <v>1911</v>
      </c>
      <c r="C4">
        <v>-0.4677</v>
      </c>
      <c r="E4" s="31">
        <v>1903</v>
      </c>
      <c r="K4" t="s">
        <v>61</v>
      </c>
      <c r="V4">
        <v>133.333</v>
      </c>
      <c r="W4">
        <v>733.33299999999997</v>
      </c>
      <c r="X4">
        <v>-1000</v>
      </c>
    </row>
    <row r="5" spans="1:24" ht="15.75">
      <c r="A5">
        <f t="shared" si="0"/>
        <v>14</v>
      </c>
      <c r="B5" s="31">
        <v>1914</v>
      </c>
      <c r="C5">
        <v>-0.2109</v>
      </c>
      <c r="E5" s="31">
        <v>1904</v>
      </c>
      <c r="K5" t="s">
        <v>62</v>
      </c>
    </row>
    <row r="6" spans="1:24" ht="15.75">
      <c r="A6">
        <f t="shared" si="0"/>
        <v>18</v>
      </c>
      <c r="B6" s="31">
        <v>1918</v>
      </c>
      <c r="C6">
        <v>-0.1976</v>
      </c>
      <c r="E6" s="31">
        <v>1905</v>
      </c>
      <c r="F6">
        <v>-0.19359999999999999</v>
      </c>
      <c r="H6" t="s">
        <v>55</v>
      </c>
      <c r="K6" t="s">
        <v>63</v>
      </c>
      <c r="V6">
        <f>-5.95238/100000000</f>
        <v>-5.95238E-8</v>
      </c>
      <c r="W6">
        <f>0.000916667</f>
        <v>9.1666700000000002E-4</v>
      </c>
      <c r="X6">
        <v>1.14286</v>
      </c>
    </row>
    <row r="7" spans="1:24" ht="15.75">
      <c r="A7">
        <f t="shared" si="0"/>
        <v>23</v>
      </c>
      <c r="B7" s="31">
        <v>1923</v>
      </c>
      <c r="C7">
        <v>-0.27400000000000002</v>
      </c>
      <c r="E7" s="31">
        <v>1906</v>
      </c>
    </row>
    <row r="8" spans="1:24" ht="15.75">
      <c r="A8">
        <f t="shared" si="0"/>
        <v>25</v>
      </c>
      <c r="B8" s="31">
        <v>1925</v>
      </c>
      <c r="C8">
        <v>-0.2029</v>
      </c>
      <c r="E8" s="31">
        <v>1907</v>
      </c>
    </row>
    <row r="9" spans="1:24" ht="15.75">
      <c r="A9">
        <f t="shared" si="0"/>
        <v>30</v>
      </c>
      <c r="B9" s="31">
        <v>1930</v>
      </c>
      <c r="C9">
        <v>-5.5500000000000001E-2</v>
      </c>
      <c r="E9" s="31">
        <v>1908</v>
      </c>
    </row>
    <row r="10" spans="1:24" ht="15.75">
      <c r="A10">
        <f t="shared" si="0"/>
        <v>32</v>
      </c>
      <c r="B10" s="31">
        <v>1932</v>
      </c>
      <c r="C10">
        <v>-0.10680000000000001</v>
      </c>
      <c r="E10" s="31">
        <v>1909</v>
      </c>
    </row>
    <row r="11" spans="1:24" ht="15.75">
      <c r="A11">
        <f t="shared" si="0"/>
        <v>39</v>
      </c>
      <c r="B11" s="31">
        <v>1939</v>
      </c>
      <c r="C11">
        <v>6.7999999999999996E-3</v>
      </c>
      <c r="E11" s="31">
        <v>1910</v>
      </c>
    </row>
    <row r="12" spans="1:24" ht="15.75">
      <c r="A12">
        <f t="shared" si="0"/>
        <v>40</v>
      </c>
      <c r="B12" s="31">
        <v>1940</v>
      </c>
      <c r="C12">
        <v>0.14660000000000001</v>
      </c>
      <c r="E12" s="31">
        <v>1911</v>
      </c>
      <c r="F12">
        <v>-0.4677</v>
      </c>
      <c r="H12" t="s">
        <v>55</v>
      </c>
    </row>
    <row r="13" spans="1:24" ht="15.75">
      <c r="A13">
        <f t="shared" si="0"/>
        <v>41</v>
      </c>
      <c r="B13" s="31">
        <v>1941</v>
      </c>
      <c r="C13">
        <v>0.2046</v>
      </c>
      <c r="E13" s="31">
        <v>1912</v>
      </c>
    </row>
    <row r="14" spans="1:24" ht="15.75">
      <c r="A14">
        <f t="shared" si="0"/>
        <v>46</v>
      </c>
      <c r="B14" s="31">
        <v>1946</v>
      </c>
      <c r="C14">
        <v>-3.4200000000000001E-2</v>
      </c>
      <c r="E14" s="31">
        <v>1913</v>
      </c>
    </row>
    <row r="15" spans="1:24" ht="15.75">
      <c r="A15">
        <f t="shared" si="0"/>
        <v>51</v>
      </c>
      <c r="B15" s="31">
        <v>1951</v>
      </c>
      <c r="C15">
        <v>0.11070000000000001</v>
      </c>
      <c r="E15" s="31">
        <v>1914</v>
      </c>
      <c r="F15">
        <v>-0.2109</v>
      </c>
      <c r="H15" t="s">
        <v>55</v>
      </c>
    </row>
    <row r="16" spans="1:24" ht="15.75">
      <c r="A16">
        <f t="shared" si="0"/>
        <v>53</v>
      </c>
      <c r="B16" s="31">
        <v>1953</v>
      </c>
      <c r="C16">
        <v>6.9900000000000004E-2</v>
      </c>
      <c r="E16" s="31">
        <v>1915</v>
      </c>
    </row>
    <row r="17" spans="1:20" ht="15.75">
      <c r="A17">
        <f t="shared" si="0"/>
        <v>57</v>
      </c>
      <c r="B17" s="31">
        <v>1957</v>
      </c>
      <c r="C17">
        <v>6.3100000000000003E-2</v>
      </c>
      <c r="E17" s="31">
        <v>1916</v>
      </c>
    </row>
    <row r="18" spans="1:20" ht="15.75">
      <c r="A18">
        <f t="shared" si="0"/>
        <v>63</v>
      </c>
      <c r="B18" s="31">
        <v>1963</v>
      </c>
      <c r="C18">
        <v>0.13750000000000001</v>
      </c>
      <c r="E18" s="31">
        <v>1917</v>
      </c>
    </row>
    <row r="19" spans="1:20" ht="15.75">
      <c r="A19">
        <f t="shared" si="0"/>
        <v>65</v>
      </c>
      <c r="B19" s="31">
        <v>1965</v>
      </c>
      <c r="C19">
        <v>-8.3199999999999996E-2</v>
      </c>
      <c r="E19" s="31">
        <v>1918</v>
      </c>
      <c r="F19">
        <v>-0.1976</v>
      </c>
      <c r="H19" t="s">
        <v>55</v>
      </c>
      <c r="M19">
        <f t="shared" ref="M19:M33" si="1">N19-$B$1</f>
        <v>65</v>
      </c>
      <c r="N19" s="31">
        <v>1965</v>
      </c>
      <c r="O19" s="7">
        <v>-8.3199999999999996E-2</v>
      </c>
    </row>
    <row r="20" spans="1:20" ht="15.75">
      <c r="A20">
        <f t="shared" si="0"/>
        <v>69</v>
      </c>
      <c r="B20" s="31">
        <v>1969</v>
      </c>
      <c r="C20">
        <v>9.2899999999999996E-2</v>
      </c>
      <c r="E20" s="31">
        <v>1919</v>
      </c>
      <c r="M20">
        <f t="shared" si="1"/>
        <v>69</v>
      </c>
      <c r="N20" s="31">
        <v>1969</v>
      </c>
      <c r="O20" s="7">
        <v>9.2899999999999996E-2</v>
      </c>
    </row>
    <row r="21" spans="1:20" ht="15.75">
      <c r="A21">
        <f t="shared" si="0"/>
        <v>72</v>
      </c>
      <c r="B21" s="31">
        <v>1972</v>
      </c>
      <c r="C21">
        <v>6.6500000000000004E-2</v>
      </c>
      <c r="E21" s="31">
        <v>1920</v>
      </c>
      <c r="M21">
        <f t="shared" si="1"/>
        <v>72</v>
      </c>
      <c r="N21" s="31">
        <v>1972</v>
      </c>
      <c r="O21" s="7">
        <v>6.6500000000000004E-2</v>
      </c>
    </row>
    <row r="22" spans="1:20" ht="15.75">
      <c r="A22">
        <f t="shared" si="0"/>
        <v>76</v>
      </c>
      <c r="B22" s="31">
        <v>1976</v>
      </c>
      <c r="C22">
        <v>-8.6300000000000002E-2</v>
      </c>
      <c r="E22" s="31">
        <v>1921</v>
      </c>
      <c r="M22">
        <f t="shared" si="1"/>
        <v>76</v>
      </c>
      <c r="N22" s="31">
        <v>1976</v>
      </c>
      <c r="O22" s="7">
        <v>-8.6300000000000002E-2</v>
      </c>
    </row>
    <row r="23" spans="1:20" ht="15.75">
      <c r="A23">
        <f t="shared" si="0"/>
        <v>77</v>
      </c>
      <c r="B23" s="31">
        <v>1977</v>
      </c>
      <c r="C23">
        <v>0.1716</v>
      </c>
      <c r="E23" s="31">
        <v>1922</v>
      </c>
      <c r="M23">
        <f t="shared" si="1"/>
        <v>77</v>
      </c>
      <c r="N23" s="31">
        <v>1977</v>
      </c>
      <c r="O23" s="7">
        <v>0.1716</v>
      </c>
    </row>
    <row r="24" spans="1:20" ht="15.75">
      <c r="A24">
        <f t="shared" si="0"/>
        <v>82</v>
      </c>
      <c r="B24" s="31">
        <v>1982</v>
      </c>
      <c r="C24">
        <v>0.14230000000000001</v>
      </c>
      <c r="E24" s="31">
        <v>1923</v>
      </c>
      <c r="F24">
        <v>-0.27400000000000002</v>
      </c>
      <c r="H24" t="s">
        <v>55</v>
      </c>
      <c r="M24">
        <f t="shared" si="1"/>
        <v>82</v>
      </c>
      <c r="N24" s="31">
        <v>1982</v>
      </c>
      <c r="O24" s="7">
        <v>0.14230000000000001</v>
      </c>
    </row>
    <row r="25" spans="1:20" ht="15.75">
      <c r="A25">
        <f t="shared" si="0"/>
        <v>86</v>
      </c>
      <c r="B25" s="31">
        <v>1986</v>
      </c>
      <c r="C25">
        <v>0.16539999999999999</v>
      </c>
      <c r="E25" s="31">
        <v>1924</v>
      </c>
      <c r="M25">
        <f t="shared" si="1"/>
        <v>86</v>
      </c>
      <c r="N25" s="31">
        <v>1986</v>
      </c>
      <c r="O25" s="7">
        <v>0.16539999999999999</v>
      </c>
      <c r="T25">
        <f>2.3/4</f>
        <v>0.57499999999999996</v>
      </c>
    </row>
    <row r="26" spans="1:20" ht="15.75">
      <c r="A26">
        <f t="shared" si="0"/>
        <v>91</v>
      </c>
      <c r="B26" s="31">
        <v>1991</v>
      </c>
      <c r="C26">
        <v>0.44159999999999999</v>
      </c>
      <c r="E26" s="31">
        <v>1925</v>
      </c>
      <c r="F26">
        <v>-0.2029</v>
      </c>
      <c r="H26" t="s">
        <v>55</v>
      </c>
      <c r="M26">
        <f t="shared" si="1"/>
        <v>91</v>
      </c>
      <c r="N26" s="31">
        <v>1991</v>
      </c>
      <c r="O26" s="7">
        <v>0.44159999999999999</v>
      </c>
      <c r="T26">
        <v>0.37</v>
      </c>
    </row>
    <row r="27" spans="1:20" ht="15.75">
      <c r="A27">
        <f t="shared" si="0"/>
        <v>94</v>
      </c>
      <c r="B27" s="31">
        <v>1994</v>
      </c>
      <c r="C27">
        <v>0.31040000000000001</v>
      </c>
      <c r="E27" s="31">
        <v>1926</v>
      </c>
      <c r="M27">
        <f t="shared" si="1"/>
        <v>94</v>
      </c>
      <c r="N27" s="31">
        <v>1994</v>
      </c>
      <c r="O27" s="7">
        <v>0.31040000000000001</v>
      </c>
      <c r="T27">
        <f>T26*4</f>
        <v>1.48</v>
      </c>
    </row>
    <row r="28" spans="1:20" ht="15.75">
      <c r="A28">
        <f t="shared" si="0"/>
        <v>97</v>
      </c>
      <c r="B28" s="31">
        <v>1997</v>
      </c>
      <c r="C28">
        <v>0.50490000000000002</v>
      </c>
      <c r="E28" s="31">
        <v>1927</v>
      </c>
      <c r="M28">
        <f t="shared" si="1"/>
        <v>97</v>
      </c>
      <c r="N28" s="31">
        <v>1997</v>
      </c>
      <c r="O28" s="7">
        <v>0.50490000000000002</v>
      </c>
    </row>
    <row r="29" spans="1:20" ht="15.75">
      <c r="A29">
        <f t="shared" si="0"/>
        <v>102</v>
      </c>
      <c r="B29" s="31">
        <v>2002</v>
      </c>
      <c r="C29">
        <v>0.61860000000000004</v>
      </c>
      <c r="E29" s="31">
        <v>1928</v>
      </c>
      <c r="M29">
        <f t="shared" si="1"/>
        <v>102</v>
      </c>
      <c r="N29" s="31">
        <v>2002</v>
      </c>
      <c r="O29" s="7">
        <v>0.61860000000000004</v>
      </c>
    </row>
    <row r="30" spans="1:20" ht="15.75">
      <c r="A30">
        <f t="shared" si="0"/>
        <v>104</v>
      </c>
      <c r="B30" s="31">
        <v>2004</v>
      </c>
      <c r="C30">
        <v>0.48099999999999998</v>
      </c>
      <c r="E30" s="31">
        <v>1929</v>
      </c>
      <c r="M30">
        <f t="shared" si="1"/>
        <v>104</v>
      </c>
      <c r="N30" s="31">
        <v>2004</v>
      </c>
      <c r="O30" s="7">
        <v>0.48099999999999998</v>
      </c>
    </row>
    <row r="31" spans="1:20" ht="15.75">
      <c r="A31">
        <f t="shared" si="0"/>
        <v>106</v>
      </c>
      <c r="B31" s="31">
        <v>2006</v>
      </c>
      <c r="C31">
        <v>0.61770000000000003</v>
      </c>
      <c r="E31" s="31">
        <v>1930</v>
      </c>
      <c r="F31">
        <v>-5.5500000000000001E-2</v>
      </c>
      <c r="H31" t="s">
        <v>55</v>
      </c>
      <c r="M31">
        <f t="shared" si="1"/>
        <v>106</v>
      </c>
      <c r="N31" s="31">
        <v>2006</v>
      </c>
      <c r="O31" s="7">
        <v>0.61770000000000003</v>
      </c>
    </row>
    <row r="32" spans="1:20" ht="15.75">
      <c r="A32">
        <f t="shared" si="0"/>
        <v>109</v>
      </c>
      <c r="B32" s="31">
        <v>2009</v>
      </c>
      <c r="C32">
        <v>0.63539999999999996</v>
      </c>
      <c r="E32" s="31">
        <v>1931</v>
      </c>
      <c r="M32">
        <f t="shared" si="1"/>
        <v>109</v>
      </c>
      <c r="N32" s="31">
        <v>2009</v>
      </c>
      <c r="O32" s="7">
        <v>0.63539999999999996</v>
      </c>
    </row>
    <row r="33" spans="1:15" ht="15.75">
      <c r="A33">
        <f t="shared" si="0"/>
        <v>115</v>
      </c>
      <c r="B33" s="31">
        <v>2015</v>
      </c>
      <c r="C33">
        <v>0.80610000000000004</v>
      </c>
      <c r="E33" s="31">
        <v>1932</v>
      </c>
      <c r="F33">
        <v>-0.10680000000000001</v>
      </c>
      <c r="H33" t="s">
        <v>55</v>
      </c>
      <c r="M33">
        <f t="shared" si="1"/>
        <v>115</v>
      </c>
      <c r="N33" s="31">
        <v>2015</v>
      </c>
      <c r="O33" s="7">
        <v>0.80610000000000004</v>
      </c>
    </row>
    <row r="34" spans="1:15" ht="15.75">
      <c r="B34" s="31"/>
      <c r="E34" s="31">
        <v>1933</v>
      </c>
    </row>
    <row r="35" spans="1:15" ht="15.75">
      <c r="B35" s="31"/>
      <c r="E35" s="31">
        <v>1934</v>
      </c>
    </row>
    <row r="36" spans="1:15" ht="15.75">
      <c r="B36" s="31"/>
      <c r="E36" s="31">
        <v>1935</v>
      </c>
    </row>
    <row r="37" spans="1:15" ht="15.75">
      <c r="B37" s="31"/>
      <c r="E37" s="31">
        <v>1936</v>
      </c>
    </row>
    <row r="38" spans="1:15" ht="15.75">
      <c r="B38" s="31"/>
      <c r="E38" s="31">
        <v>1937</v>
      </c>
    </row>
    <row r="39" spans="1:15" ht="15.75">
      <c r="B39" s="31"/>
      <c r="E39" s="31">
        <v>1938</v>
      </c>
    </row>
    <row r="40" spans="1:15" ht="15.75">
      <c r="B40" s="31"/>
      <c r="E40" s="31">
        <v>1939</v>
      </c>
      <c r="F40">
        <v>6.7999999999999996E-3</v>
      </c>
      <c r="H40" t="s">
        <v>55</v>
      </c>
    </row>
    <row r="41" spans="1:15" ht="15.75">
      <c r="B41" s="31"/>
      <c r="E41" s="31">
        <v>1940</v>
      </c>
      <c r="F41">
        <v>0.14660000000000001</v>
      </c>
      <c r="H41" t="s">
        <v>55</v>
      </c>
    </row>
    <row r="42" spans="1:15" ht="15.75">
      <c r="B42" s="31"/>
      <c r="E42" s="31">
        <v>1941</v>
      </c>
      <c r="F42">
        <v>0.2046</v>
      </c>
      <c r="H42" t="s">
        <v>55</v>
      </c>
    </row>
    <row r="43" spans="1:15" ht="15.75">
      <c r="B43" s="31"/>
      <c r="E43" s="31">
        <v>1942</v>
      </c>
    </row>
    <row r="44" spans="1:15" ht="15.75">
      <c r="B44" s="31"/>
      <c r="E44" s="31">
        <v>1943</v>
      </c>
    </row>
    <row r="45" spans="1:15" ht="15.75">
      <c r="B45" s="31"/>
      <c r="E45" s="31">
        <v>1944</v>
      </c>
    </row>
    <row r="46" spans="1:15" ht="15.75">
      <c r="B46" s="31"/>
      <c r="E46" s="31">
        <v>1945</v>
      </c>
    </row>
    <row r="47" spans="1:15" ht="15.75">
      <c r="B47" s="31"/>
      <c r="E47" s="31">
        <v>1946</v>
      </c>
      <c r="F47">
        <v>-3.4200000000000001E-2</v>
      </c>
      <c r="H47" t="s">
        <v>55</v>
      </c>
    </row>
    <row r="48" spans="1:15" ht="15.75">
      <c r="B48" s="31"/>
      <c r="E48" s="31">
        <v>1947</v>
      </c>
    </row>
    <row r="49" spans="2:8" ht="15.75">
      <c r="B49" s="31"/>
      <c r="E49" s="31">
        <v>1948</v>
      </c>
    </row>
    <row r="50" spans="2:8" ht="15.75">
      <c r="B50" s="31"/>
      <c r="E50" s="31">
        <v>1949</v>
      </c>
    </row>
    <row r="51" spans="2:8" ht="15.75">
      <c r="B51" s="31"/>
      <c r="E51" s="31">
        <v>1950</v>
      </c>
    </row>
    <row r="52" spans="2:8" ht="15.75">
      <c r="B52" s="31"/>
      <c r="E52" s="31">
        <v>1951</v>
      </c>
      <c r="F52">
        <v>0.11070000000000001</v>
      </c>
      <c r="H52" t="s">
        <v>55</v>
      </c>
    </row>
    <row r="53" spans="2:8" ht="15.75">
      <c r="B53" s="31"/>
      <c r="E53" s="31">
        <v>1952</v>
      </c>
    </row>
    <row r="54" spans="2:8" ht="15.75">
      <c r="B54" s="31"/>
      <c r="E54" s="31">
        <v>1953</v>
      </c>
      <c r="F54">
        <v>6.9900000000000004E-2</v>
      </c>
      <c r="H54" t="s">
        <v>55</v>
      </c>
    </row>
    <row r="55" spans="2:8" ht="15.75">
      <c r="B55" s="31"/>
      <c r="E55" s="31">
        <v>1954</v>
      </c>
    </row>
    <row r="56" spans="2:8" ht="15.75">
      <c r="B56" s="31"/>
      <c r="E56" s="31">
        <v>1955</v>
      </c>
    </row>
    <row r="57" spans="2:8" ht="15.75">
      <c r="B57" s="31"/>
      <c r="E57" s="31">
        <v>1956</v>
      </c>
    </row>
    <row r="58" spans="2:8" ht="15.75">
      <c r="B58" s="31"/>
      <c r="E58" s="31">
        <v>1957</v>
      </c>
      <c r="F58">
        <v>6.3100000000000003E-2</v>
      </c>
      <c r="H58" t="s">
        <v>55</v>
      </c>
    </row>
    <row r="59" spans="2:8" ht="15.75">
      <c r="B59" s="31"/>
      <c r="E59" s="31">
        <v>1958</v>
      </c>
    </row>
    <row r="60" spans="2:8" ht="15.75">
      <c r="B60" s="31"/>
      <c r="E60" s="31">
        <v>1959</v>
      </c>
    </row>
    <row r="61" spans="2:8" ht="15.75">
      <c r="B61" s="31"/>
      <c r="E61" s="31">
        <v>1960</v>
      </c>
    </row>
    <row r="62" spans="2:8" ht="15.75">
      <c r="B62" s="31"/>
      <c r="E62" s="31">
        <v>1961</v>
      </c>
    </row>
    <row r="63" spans="2:8" ht="15.75">
      <c r="B63" s="31"/>
      <c r="E63" s="31">
        <v>1962</v>
      </c>
    </row>
    <row r="64" spans="2:8" ht="15.75">
      <c r="B64" s="31"/>
      <c r="E64" s="31">
        <v>1963</v>
      </c>
      <c r="F64">
        <v>0.13750000000000001</v>
      </c>
      <c r="H64" t="s">
        <v>55</v>
      </c>
    </row>
    <row r="65" spans="2:8" ht="15.75">
      <c r="B65" s="31"/>
      <c r="E65" s="31">
        <v>1964</v>
      </c>
    </row>
    <row r="66" spans="2:8" ht="15.75">
      <c r="B66" s="31"/>
      <c r="E66" s="31">
        <v>1965</v>
      </c>
      <c r="F66">
        <v>-8.3199999999999996E-2</v>
      </c>
      <c r="H66" t="s">
        <v>55</v>
      </c>
    </row>
    <row r="67" spans="2:8" ht="15.75">
      <c r="B67" s="31"/>
      <c r="E67" s="31">
        <v>1966</v>
      </c>
    </row>
    <row r="68" spans="2:8" ht="15.75">
      <c r="B68" s="31"/>
      <c r="E68" s="31">
        <v>1967</v>
      </c>
    </row>
    <row r="69" spans="2:8" ht="15.75">
      <c r="B69" s="31"/>
      <c r="E69" s="31">
        <v>1968</v>
      </c>
    </row>
    <row r="70" spans="2:8" ht="15.75">
      <c r="B70" s="31"/>
      <c r="E70" s="31">
        <v>1969</v>
      </c>
      <c r="F70">
        <v>9.2899999999999996E-2</v>
      </c>
      <c r="H70" t="s">
        <v>55</v>
      </c>
    </row>
    <row r="71" spans="2:8" ht="15.75">
      <c r="B71" s="31"/>
      <c r="E71" s="31">
        <v>1970</v>
      </c>
    </row>
    <row r="72" spans="2:8" ht="15.75">
      <c r="B72" s="31"/>
      <c r="E72" s="31">
        <v>1971</v>
      </c>
    </row>
    <row r="73" spans="2:8" ht="15.75">
      <c r="B73" s="31"/>
      <c r="E73" s="31">
        <v>1972</v>
      </c>
      <c r="F73">
        <v>6.6500000000000004E-2</v>
      </c>
      <c r="H73" t="s">
        <v>55</v>
      </c>
    </row>
    <row r="74" spans="2:8" ht="15.75">
      <c r="B74" s="31"/>
      <c r="E74" s="31">
        <v>1973</v>
      </c>
    </row>
    <row r="75" spans="2:8" ht="15.75">
      <c r="B75" s="31"/>
      <c r="E75" s="31">
        <v>1974</v>
      </c>
    </row>
    <row r="76" spans="2:8" ht="15.75">
      <c r="B76" s="31"/>
      <c r="E76" s="31">
        <v>1975</v>
      </c>
    </row>
    <row r="77" spans="2:8" ht="15.75">
      <c r="B77" s="31"/>
      <c r="E77" s="31">
        <v>1976</v>
      </c>
      <c r="F77">
        <v>-8.6300000000000002E-2</v>
      </c>
      <c r="H77" t="s">
        <v>55</v>
      </c>
    </row>
    <row r="78" spans="2:8" ht="15.75">
      <c r="B78" s="31"/>
      <c r="E78" s="31">
        <v>1977</v>
      </c>
      <c r="F78">
        <v>0.1716</v>
      </c>
      <c r="H78" t="s">
        <v>55</v>
      </c>
    </row>
    <row r="79" spans="2:8" ht="15.75">
      <c r="B79" s="31"/>
      <c r="E79" s="31">
        <v>1978</v>
      </c>
    </row>
    <row r="80" spans="2:8" ht="15.75">
      <c r="B80" s="31"/>
      <c r="E80" s="31">
        <v>1979</v>
      </c>
    </row>
    <row r="81" spans="2:8" ht="15.75">
      <c r="B81" s="31"/>
      <c r="E81" s="31">
        <v>1980</v>
      </c>
    </row>
    <row r="82" spans="2:8" ht="15.75">
      <c r="B82" s="31"/>
      <c r="E82" s="31">
        <v>1981</v>
      </c>
    </row>
    <row r="83" spans="2:8" ht="15.75">
      <c r="B83" s="31"/>
      <c r="E83" s="31">
        <v>1982</v>
      </c>
      <c r="F83">
        <v>0.14230000000000001</v>
      </c>
      <c r="H83" t="s">
        <v>55</v>
      </c>
    </row>
    <row r="84" spans="2:8" ht="15.75">
      <c r="B84" s="31"/>
      <c r="E84" s="31">
        <v>1983</v>
      </c>
    </row>
    <row r="85" spans="2:8" ht="15.75">
      <c r="B85" s="31"/>
      <c r="E85" s="31">
        <v>1984</v>
      </c>
    </row>
    <row r="86" spans="2:8" ht="15.75">
      <c r="B86" s="31"/>
      <c r="E86" s="31">
        <v>1985</v>
      </c>
    </row>
    <row r="87" spans="2:8" ht="15.75">
      <c r="B87" s="31"/>
      <c r="E87" s="31">
        <v>1986</v>
      </c>
      <c r="F87">
        <v>0.16539999999999999</v>
      </c>
      <c r="H87" t="s">
        <v>55</v>
      </c>
    </row>
    <row r="88" spans="2:8" ht="15.75">
      <c r="B88" s="31"/>
      <c r="E88" s="31">
        <v>1987</v>
      </c>
    </row>
    <row r="89" spans="2:8" ht="15.75">
      <c r="B89" s="31"/>
      <c r="E89" s="31">
        <v>1988</v>
      </c>
    </row>
    <row r="90" spans="2:8" ht="15.75">
      <c r="B90" s="31"/>
      <c r="E90" s="31">
        <v>1989</v>
      </c>
    </row>
    <row r="91" spans="2:8" ht="15.75">
      <c r="B91" s="31"/>
      <c r="E91" s="31">
        <v>1990</v>
      </c>
    </row>
    <row r="92" spans="2:8" ht="15.75">
      <c r="B92" s="31"/>
      <c r="E92" s="31">
        <v>1991</v>
      </c>
      <c r="F92">
        <v>0.44159999999999999</v>
      </c>
      <c r="H92" t="s">
        <v>55</v>
      </c>
    </row>
    <row r="93" spans="2:8" ht="15.75">
      <c r="B93" s="31"/>
      <c r="E93" s="31">
        <v>1992</v>
      </c>
    </row>
    <row r="94" spans="2:8" ht="15.75">
      <c r="B94" s="31"/>
      <c r="E94" s="31">
        <v>1993</v>
      </c>
    </row>
    <row r="95" spans="2:8" ht="15.75">
      <c r="B95" s="31"/>
      <c r="E95" s="31">
        <v>1994</v>
      </c>
      <c r="F95">
        <v>0.31040000000000001</v>
      </c>
      <c r="H95" t="s">
        <v>55</v>
      </c>
    </row>
    <row r="96" spans="2:8" ht="15.75">
      <c r="B96" s="31"/>
      <c r="E96" s="31">
        <v>1995</v>
      </c>
    </row>
    <row r="97" spans="2:8" ht="15.75">
      <c r="B97" s="31"/>
      <c r="E97" s="31">
        <v>1996</v>
      </c>
    </row>
    <row r="98" spans="2:8" ht="15.75">
      <c r="B98" s="31"/>
      <c r="E98" s="31">
        <v>1997</v>
      </c>
      <c r="F98">
        <v>0.50490000000000002</v>
      </c>
      <c r="H98" t="s">
        <v>55</v>
      </c>
    </row>
    <row r="99" spans="2:8" ht="15.75">
      <c r="B99" s="31"/>
      <c r="E99" s="31">
        <v>1998</v>
      </c>
    </row>
    <row r="100" spans="2:8" ht="15.75">
      <c r="B100" s="31"/>
      <c r="E100" s="31">
        <v>1999</v>
      </c>
    </row>
    <row r="101" spans="2:8" ht="15.75">
      <c r="B101" s="31"/>
      <c r="E101" s="31">
        <v>2000</v>
      </c>
    </row>
    <row r="102" spans="2:8" ht="15.75">
      <c r="B102" s="31"/>
      <c r="E102" s="31">
        <v>2001</v>
      </c>
    </row>
    <row r="103" spans="2:8" ht="15.75">
      <c r="B103" s="31"/>
      <c r="E103" s="31">
        <v>2002</v>
      </c>
      <c r="F103">
        <v>0.61860000000000004</v>
      </c>
      <c r="H103" t="s">
        <v>55</v>
      </c>
    </row>
    <row r="104" spans="2:8" ht="15.75">
      <c r="B104" s="31"/>
      <c r="E104" s="31">
        <v>2003</v>
      </c>
    </row>
    <row r="105" spans="2:8" ht="15.75">
      <c r="B105" s="31"/>
      <c r="E105" s="31">
        <v>2004</v>
      </c>
      <c r="F105">
        <v>0.48099999999999998</v>
      </c>
      <c r="H105" t="s">
        <v>55</v>
      </c>
    </row>
    <row r="106" spans="2:8" ht="15.75">
      <c r="B106" s="31"/>
      <c r="E106" s="31">
        <v>2005</v>
      </c>
    </row>
    <row r="107" spans="2:8" ht="15.75">
      <c r="B107" s="31"/>
      <c r="E107" s="31">
        <v>2006</v>
      </c>
      <c r="F107">
        <v>0.61770000000000003</v>
      </c>
      <c r="H107" t="s">
        <v>55</v>
      </c>
    </row>
    <row r="108" spans="2:8" ht="15.75">
      <c r="B108" s="31"/>
      <c r="E108" s="31">
        <v>2007</v>
      </c>
    </row>
    <row r="109" spans="2:8" ht="15.75">
      <c r="B109" s="31"/>
      <c r="E109" s="31">
        <v>2008</v>
      </c>
    </row>
    <row r="110" spans="2:8" ht="15.75">
      <c r="B110" s="31"/>
      <c r="E110" s="31">
        <v>2009</v>
      </c>
      <c r="F110">
        <v>0.63539999999999996</v>
      </c>
      <c r="H110" t="s">
        <v>55</v>
      </c>
    </row>
    <row r="111" spans="2:8" ht="15.75">
      <c r="B111" s="31"/>
      <c r="E111" s="31">
        <v>2010</v>
      </c>
    </row>
    <row r="112" spans="2:8" ht="15.75">
      <c r="B112" s="31"/>
      <c r="E112" s="31">
        <v>2011</v>
      </c>
    </row>
    <row r="113" spans="2:8" ht="15.75">
      <c r="B113" s="31"/>
      <c r="E113" s="31">
        <v>2012</v>
      </c>
    </row>
    <row r="114" spans="2:8" ht="15.75">
      <c r="B114" s="31"/>
      <c r="E114" s="31">
        <v>2013</v>
      </c>
    </row>
    <row r="115" spans="2:8" ht="15.75">
      <c r="B115" s="31"/>
      <c r="E115" s="31">
        <v>2014</v>
      </c>
    </row>
    <row r="116" spans="2:8" ht="15.75">
      <c r="B116" s="31"/>
      <c r="E116" s="31">
        <v>2015</v>
      </c>
      <c r="F116">
        <v>0.80610000000000004</v>
      </c>
      <c r="H116" t="s">
        <v>55</v>
      </c>
    </row>
    <row r="117" spans="2:8" ht="15.75">
      <c r="B117" s="31"/>
    </row>
  </sheetData>
  <sortState ref="B1:C117">
    <sortCondition ref="B1"/>
  </sortState>
  <hyperlinks>
    <hyperlink ref="K2"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A2:F48"/>
  <sheetViews>
    <sheetView workbookViewId="0">
      <selection activeCell="D35" sqref="D35"/>
    </sheetView>
  </sheetViews>
  <sheetFormatPr defaultRowHeight="15"/>
  <sheetData>
    <row r="2" spans="1:6">
      <c r="A2">
        <v>52</v>
      </c>
      <c r="B2" t="s">
        <v>84</v>
      </c>
    </row>
    <row r="3" spans="1:6">
      <c r="A3">
        <f>A2*0.72</f>
        <v>37.44</v>
      </c>
      <c r="B3" t="s">
        <v>141</v>
      </c>
      <c r="E3">
        <v>2010</v>
      </c>
      <c r="F3">
        <v>34</v>
      </c>
    </row>
    <row r="4" spans="1:6">
      <c r="A4" s="60">
        <v>0.02</v>
      </c>
      <c r="B4" t="s">
        <v>85</v>
      </c>
      <c r="E4">
        <f>E3+1</f>
        <v>2011</v>
      </c>
      <c r="F4">
        <f>F3*1.02</f>
        <v>34.68</v>
      </c>
    </row>
    <row r="5" spans="1:6">
      <c r="A5">
        <v>1.5</v>
      </c>
      <c r="B5" t="s">
        <v>86</v>
      </c>
      <c r="E5">
        <f t="shared" ref="E5:E19" si="0">E4+1</f>
        <v>2012</v>
      </c>
      <c r="F5">
        <f t="shared" ref="F5:F18" si="1">F4*1.02</f>
        <v>35.373600000000003</v>
      </c>
    </row>
    <row r="6" spans="1:6">
      <c r="A6" s="61">
        <f>SUM(F5:F48)</f>
        <v>1240.3414037446519</v>
      </c>
      <c r="B6" t="s">
        <v>87</v>
      </c>
      <c r="E6">
        <f t="shared" si="0"/>
        <v>2013</v>
      </c>
      <c r="F6">
        <f t="shared" si="1"/>
        <v>36.081072000000006</v>
      </c>
    </row>
    <row r="7" spans="1:6">
      <c r="E7">
        <f t="shared" si="0"/>
        <v>2014</v>
      </c>
      <c r="F7">
        <f t="shared" si="1"/>
        <v>36.802693440000006</v>
      </c>
    </row>
    <row r="8" spans="1:6">
      <c r="E8">
        <f t="shared" si="0"/>
        <v>2015</v>
      </c>
      <c r="F8">
        <f t="shared" si="1"/>
        <v>37.538747308800005</v>
      </c>
    </row>
    <row r="9" spans="1:6">
      <c r="A9">
        <f>100 *A5/F18</f>
        <v>3.2780061617140541</v>
      </c>
      <c r="B9" t="s">
        <v>143</v>
      </c>
      <c r="E9">
        <f t="shared" si="0"/>
        <v>2016</v>
      </c>
      <c r="F9">
        <f t="shared" si="1"/>
        <v>38.289522254976006</v>
      </c>
    </row>
    <row r="10" spans="1:6">
      <c r="A10">
        <f>F48</f>
        <v>0.75952350302041793</v>
      </c>
      <c r="B10" t="s">
        <v>142</v>
      </c>
      <c r="E10">
        <f t="shared" si="0"/>
        <v>2017</v>
      </c>
      <c r="F10">
        <f t="shared" si="1"/>
        <v>39.055312700075525</v>
      </c>
    </row>
    <row r="11" spans="1:6">
      <c r="E11">
        <f t="shared" si="0"/>
        <v>2018</v>
      </c>
      <c r="F11">
        <f t="shared" si="1"/>
        <v>39.83641895407704</v>
      </c>
    </row>
    <row r="12" spans="1:6">
      <c r="E12">
        <f t="shared" si="0"/>
        <v>2019</v>
      </c>
      <c r="F12">
        <f t="shared" si="1"/>
        <v>40.633147333158583</v>
      </c>
    </row>
    <row r="13" spans="1:6">
      <c r="E13">
        <f t="shared" si="0"/>
        <v>2020</v>
      </c>
      <c r="F13">
        <f t="shared" si="1"/>
        <v>41.445810279821757</v>
      </c>
    </row>
    <row r="14" spans="1:6">
      <c r="E14">
        <f t="shared" si="0"/>
        <v>2021</v>
      </c>
      <c r="F14">
        <f t="shared" si="1"/>
        <v>42.274726485418192</v>
      </c>
    </row>
    <row r="15" spans="1:6">
      <c r="E15">
        <f t="shared" si="0"/>
        <v>2022</v>
      </c>
      <c r="F15">
        <f t="shared" si="1"/>
        <v>43.120221015126553</v>
      </c>
    </row>
    <row r="16" spans="1:6">
      <c r="E16">
        <f t="shared" si="0"/>
        <v>2023</v>
      </c>
      <c r="F16">
        <f t="shared" si="1"/>
        <v>43.982625435429085</v>
      </c>
    </row>
    <row r="17" spans="5:6">
      <c r="E17">
        <f t="shared" si="0"/>
        <v>2024</v>
      </c>
      <c r="F17">
        <f t="shared" si="1"/>
        <v>44.862277944137666</v>
      </c>
    </row>
    <row r="18" spans="5:6">
      <c r="E18">
        <f t="shared" si="0"/>
        <v>2025</v>
      </c>
      <c r="F18">
        <f t="shared" si="1"/>
        <v>45.759523503020418</v>
      </c>
    </row>
    <row r="19" spans="5:6">
      <c r="E19">
        <f t="shared" si="0"/>
        <v>2026</v>
      </c>
      <c r="F19">
        <f>F18-$A$5</f>
        <v>44.259523503020418</v>
      </c>
    </row>
    <row r="20" spans="5:6">
      <c r="E20">
        <f t="shared" ref="E20:E48" si="2">E19+1</f>
        <v>2027</v>
      </c>
      <c r="F20">
        <f t="shared" ref="F20:F48" si="3">F19-$A$5</f>
        <v>42.759523503020418</v>
      </c>
    </row>
    <row r="21" spans="5:6">
      <c r="E21">
        <f t="shared" si="2"/>
        <v>2028</v>
      </c>
      <c r="F21">
        <f t="shared" si="3"/>
        <v>41.259523503020418</v>
      </c>
    </row>
    <row r="22" spans="5:6">
      <c r="E22">
        <f t="shared" si="2"/>
        <v>2029</v>
      </c>
      <c r="F22">
        <f t="shared" si="3"/>
        <v>39.759523503020418</v>
      </c>
    </row>
    <row r="23" spans="5:6">
      <c r="E23">
        <f t="shared" si="2"/>
        <v>2030</v>
      </c>
      <c r="F23">
        <f t="shared" si="3"/>
        <v>38.259523503020418</v>
      </c>
    </row>
    <row r="24" spans="5:6">
      <c r="E24">
        <f t="shared" si="2"/>
        <v>2031</v>
      </c>
      <c r="F24">
        <f t="shared" si="3"/>
        <v>36.759523503020418</v>
      </c>
    </row>
    <row r="25" spans="5:6">
      <c r="E25">
        <f t="shared" si="2"/>
        <v>2032</v>
      </c>
      <c r="F25">
        <f t="shared" si="3"/>
        <v>35.259523503020418</v>
      </c>
    </row>
    <row r="26" spans="5:6">
      <c r="E26">
        <f t="shared" si="2"/>
        <v>2033</v>
      </c>
      <c r="F26">
        <f t="shared" si="3"/>
        <v>33.759523503020418</v>
      </c>
    </row>
    <row r="27" spans="5:6">
      <c r="E27">
        <f t="shared" si="2"/>
        <v>2034</v>
      </c>
      <c r="F27">
        <f t="shared" si="3"/>
        <v>32.259523503020418</v>
      </c>
    </row>
    <row r="28" spans="5:6">
      <c r="E28">
        <f t="shared" si="2"/>
        <v>2035</v>
      </c>
      <c r="F28">
        <f t="shared" si="3"/>
        <v>30.759523503020418</v>
      </c>
    </row>
    <row r="29" spans="5:6">
      <c r="E29">
        <f t="shared" si="2"/>
        <v>2036</v>
      </c>
      <c r="F29">
        <f t="shared" si="3"/>
        <v>29.259523503020418</v>
      </c>
    </row>
    <row r="30" spans="5:6">
      <c r="E30">
        <f t="shared" si="2"/>
        <v>2037</v>
      </c>
      <c r="F30">
        <f t="shared" si="3"/>
        <v>27.759523503020418</v>
      </c>
    </row>
    <row r="31" spans="5:6">
      <c r="E31">
        <f t="shared" si="2"/>
        <v>2038</v>
      </c>
      <c r="F31">
        <f t="shared" si="3"/>
        <v>26.259523503020418</v>
      </c>
    </row>
    <row r="32" spans="5:6">
      <c r="E32">
        <f t="shared" si="2"/>
        <v>2039</v>
      </c>
      <c r="F32">
        <f t="shared" si="3"/>
        <v>24.759523503020418</v>
      </c>
    </row>
    <row r="33" spans="5:6">
      <c r="E33">
        <f t="shared" si="2"/>
        <v>2040</v>
      </c>
      <c r="F33">
        <f t="shared" si="3"/>
        <v>23.259523503020418</v>
      </c>
    </row>
    <row r="34" spans="5:6">
      <c r="E34">
        <f t="shared" si="2"/>
        <v>2041</v>
      </c>
      <c r="F34">
        <f t="shared" si="3"/>
        <v>21.759523503020418</v>
      </c>
    </row>
    <row r="35" spans="5:6">
      <c r="E35">
        <f t="shared" si="2"/>
        <v>2042</v>
      </c>
      <c r="F35">
        <f t="shared" si="3"/>
        <v>20.259523503020418</v>
      </c>
    </row>
    <row r="36" spans="5:6">
      <c r="E36">
        <f t="shared" si="2"/>
        <v>2043</v>
      </c>
      <c r="F36">
        <f t="shared" si="3"/>
        <v>18.759523503020418</v>
      </c>
    </row>
    <row r="37" spans="5:6">
      <c r="E37">
        <f t="shared" si="2"/>
        <v>2044</v>
      </c>
      <c r="F37">
        <f t="shared" si="3"/>
        <v>17.259523503020418</v>
      </c>
    </row>
    <row r="38" spans="5:6">
      <c r="E38">
        <f t="shared" si="2"/>
        <v>2045</v>
      </c>
      <c r="F38">
        <f t="shared" si="3"/>
        <v>15.759523503020418</v>
      </c>
    </row>
    <row r="39" spans="5:6">
      <c r="E39">
        <f t="shared" si="2"/>
        <v>2046</v>
      </c>
      <c r="F39">
        <f t="shared" si="3"/>
        <v>14.259523503020418</v>
      </c>
    </row>
    <row r="40" spans="5:6">
      <c r="E40">
        <f t="shared" si="2"/>
        <v>2047</v>
      </c>
      <c r="F40">
        <f t="shared" si="3"/>
        <v>12.759523503020418</v>
      </c>
    </row>
    <row r="41" spans="5:6">
      <c r="E41">
        <f t="shared" si="2"/>
        <v>2048</v>
      </c>
      <c r="F41">
        <f t="shared" si="3"/>
        <v>11.259523503020418</v>
      </c>
    </row>
    <row r="42" spans="5:6">
      <c r="E42">
        <f t="shared" si="2"/>
        <v>2049</v>
      </c>
      <c r="F42">
        <f t="shared" si="3"/>
        <v>9.7595235030204179</v>
      </c>
    </row>
    <row r="43" spans="5:6">
      <c r="E43">
        <f t="shared" si="2"/>
        <v>2050</v>
      </c>
      <c r="F43">
        <f t="shared" si="3"/>
        <v>8.2595235030204179</v>
      </c>
    </row>
    <row r="44" spans="5:6">
      <c r="E44">
        <f t="shared" si="2"/>
        <v>2051</v>
      </c>
      <c r="F44">
        <f t="shared" si="3"/>
        <v>6.7595235030204179</v>
      </c>
    </row>
    <row r="45" spans="5:6">
      <c r="E45">
        <f t="shared" si="2"/>
        <v>2052</v>
      </c>
      <c r="F45">
        <f t="shared" si="3"/>
        <v>5.2595235030204179</v>
      </c>
    </row>
    <row r="46" spans="5:6">
      <c r="E46">
        <f t="shared" si="2"/>
        <v>2053</v>
      </c>
      <c r="F46">
        <f t="shared" si="3"/>
        <v>3.7595235030204179</v>
      </c>
    </row>
    <row r="47" spans="5:6">
      <c r="E47">
        <f t="shared" si="2"/>
        <v>2054</v>
      </c>
      <c r="F47">
        <f t="shared" si="3"/>
        <v>2.2595235030204179</v>
      </c>
    </row>
    <row r="48" spans="5:6">
      <c r="E48">
        <f t="shared" si="2"/>
        <v>2055</v>
      </c>
      <c r="F48">
        <f t="shared" si="3"/>
        <v>0.75952350302041793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2:Z118"/>
  <sheetViews>
    <sheetView workbookViewId="0">
      <selection activeCell="T63" sqref="T63:Y73"/>
    </sheetView>
  </sheetViews>
  <sheetFormatPr defaultRowHeight="15"/>
  <cols>
    <col min="19" max="19" width="13.7109375" customWidth="1"/>
    <col min="20" max="20" width="14.42578125" customWidth="1"/>
  </cols>
  <sheetData>
    <row r="2" spans="1:5">
      <c r="A2" t="s">
        <v>94</v>
      </c>
      <c r="B2">
        <v>8.61</v>
      </c>
    </row>
    <row r="3" spans="1:5">
      <c r="A3" t="s">
        <v>95</v>
      </c>
      <c r="B3">
        <v>9</v>
      </c>
      <c r="C3">
        <f>(B2+B3)*4</f>
        <v>70.44</v>
      </c>
    </row>
    <row r="4" spans="1:5">
      <c r="A4" t="s">
        <v>96</v>
      </c>
      <c r="B4">
        <v>7.21</v>
      </c>
      <c r="C4">
        <f>(B3+B4)*5</f>
        <v>81.050000000000011</v>
      </c>
    </row>
    <row r="5" spans="1:5">
      <c r="A5" t="s">
        <v>97</v>
      </c>
      <c r="B5">
        <v>4.79</v>
      </c>
      <c r="C5">
        <f t="shared" ref="C5:C11" si="0">(B4+B5)*5</f>
        <v>60</v>
      </c>
    </row>
    <row r="6" spans="1:5">
      <c r="A6" t="s">
        <v>98</v>
      </c>
      <c r="B6">
        <v>3.21</v>
      </c>
      <c r="C6">
        <f t="shared" si="0"/>
        <v>40</v>
      </c>
    </row>
    <row r="7" spans="1:5">
      <c r="A7" t="s">
        <v>99</v>
      </c>
      <c r="B7">
        <v>1.55</v>
      </c>
      <c r="C7">
        <f t="shared" si="0"/>
        <v>23.799999999999997</v>
      </c>
    </row>
    <row r="8" spans="1:5">
      <c r="A8" t="s">
        <v>100</v>
      </c>
      <c r="B8">
        <v>0.26</v>
      </c>
      <c r="C8">
        <f t="shared" si="0"/>
        <v>9.0500000000000007</v>
      </c>
    </row>
    <row r="9" spans="1:5">
      <c r="A9" t="s">
        <v>101</v>
      </c>
      <c r="B9">
        <v>-0.39</v>
      </c>
      <c r="C9">
        <f t="shared" si="0"/>
        <v>-0.65</v>
      </c>
    </row>
    <row r="10" spans="1:5">
      <c r="A10" t="s">
        <v>102</v>
      </c>
      <c r="B10">
        <v>-0.81</v>
      </c>
      <c r="C10">
        <f t="shared" si="0"/>
        <v>-6.0000000000000009</v>
      </c>
    </row>
    <row r="11" spans="1:5">
      <c r="A11" t="s">
        <v>103</v>
      </c>
      <c r="B11">
        <v>-0.92</v>
      </c>
      <c r="C11">
        <f t="shared" si="0"/>
        <v>-8.65</v>
      </c>
      <c r="D11">
        <f>SUM(C3:C11) *3.664</f>
        <v>985.76256000000035</v>
      </c>
      <c r="E11" t="s">
        <v>104</v>
      </c>
    </row>
    <row r="12" spans="1:5">
      <c r="D12">
        <f>B11*3.664</f>
        <v>-3.3708800000000001</v>
      </c>
    </row>
    <row r="14" spans="1:5">
      <c r="A14" t="s">
        <v>94</v>
      </c>
      <c r="B14">
        <v>1.0900000000000001</v>
      </c>
    </row>
    <row r="15" spans="1:5">
      <c r="A15" t="s">
        <v>95</v>
      </c>
      <c r="B15">
        <v>0.97</v>
      </c>
      <c r="C15">
        <f>(B15+B14)*4</f>
        <v>8.24</v>
      </c>
    </row>
    <row r="16" spans="1:5">
      <c r="A16" t="s">
        <v>96</v>
      </c>
      <c r="B16">
        <v>0.79</v>
      </c>
      <c r="C16">
        <f t="shared" ref="C16:C23" si="1">(B14+B15)*5</f>
        <v>10.3</v>
      </c>
    </row>
    <row r="17" spans="1:5">
      <c r="A17" t="s">
        <v>97</v>
      </c>
      <c r="B17">
        <v>0.51</v>
      </c>
      <c r="C17">
        <f t="shared" si="1"/>
        <v>8.8000000000000007</v>
      </c>
    </row>
    <row r="18" spans="1:5">
      <c r="A18" t="s">
        <v>98</v>
      </c>
      <c r="B18">
        <v>0.28999999999999998</v>
      </c>
      <c r="C18">
        <f t="shared" si="1"/>
        <v>6.5</v>
      </c>
    </row>
    <row r="19" spans="1:5">
      <c r="A19" t="s">
        <v>99</v>
      </c>
      <c r="B19">
        <v>0.55000000000000004</v>
      </c>
      <c r="C19">
        <f t="shared" si="1"/>
        <v>4</v>
      </c>
    </row>
    <row r="20" spans="1:5">
      <c r="A20" t="s">
        <v>100</v>
      </c>
      <c r="B20">
        <v>0.55000000000000004</v>
      </c>
      <c r="C20">
        <f t="shared" si="1"/>
        <v>4.2</v>
      </c>
    </row>
    <row r="21" spans="1:5">
      <c r="A21" t="s">
        <v>101</v>
      </c>
      <c r="B21">
        <v>0.55000000000000004</v>
      </c>
      <c r="C21">
        <f t="shared" si="1"/>
        <v>5.5</v>
      </c>
    </row>
    <row r="22" spans="1:5">
      <c r="A22" t="s">
        <v>102</v>
      </c>
      <c r="B22">
        <v>0.59</v>
      </c>
      <c r="C22">
        <f t="shared" si="1"/>
        <v>5.5</v>
      </c>
    </row>
    <row r="23" spans="1:5">
      <c r="A23" t="s">
        <v>103</v>
      </c>
      <c r="B23">
        <v>0.5</v>
      </c>
      <c r="C23">
        <f t="shared" si="1"/>
        <v>5.7000000000000011</v>
      </c>
      <c r="D23">
        <f>SUM(C15:C23) *3.664</f>
        <v>215.22336000000004</v>
      </c>
      <c r="E23" t="s">
        <v>105</v>
      </c>
    </row>
    <row r="24" spans="1:5">
      <c r="D24">
        <f>B23*3.664</f>
        <v>1.8320000000000001</v>
      </c>
    </row>
    <row r="26" spans="1:5">
      <c r="A26" t="s">
        <v>94</v>
      </c>
      <c r="B26">
        <v>9.6999999999999993</v>
      </c>
    </row>
    <row r="27" spans="1:5">
      <c r="A27" t="s">
        <v>95</v>
      </c>
      <c r="B27">
        <v>9.9700000000000006</v>
      </c>
      <c r="C27">
        <f>(B26+B27)*4</f>
        <v>78.680000000000007</v>
      </c>
    </row>
    <row r="28" spans="1:5">
      <c r="A28" t="s">
        <v>96</v>
      </c>
      <c r="B28">
        <v>8</v>
      </c>
      <c r="C28">
        <f>(B27+B28)*5</f>
        <v>89.85</v>
      </c>
    </row>
    <row r="29" spans="1:5">
      <c r="A29" t="s">
        <v>97</v>
      </c>
      <c r="B29">
        <v>5.3</v>
      </c>
      <c r="C29">
        <f t="shared" ref="C29:C35" si="2">(B28+B29)*5</f>
        <v>66.5</v>
      </c>
    </row>
    <row r="30" spans="1:5">
      <c r="A30" t="s">
        <v>98</v>
      </c>
      <c r="B30">
        <v>3.5</v>
      </c>
      <c r="C30">
        <f t="shared" si="2"/>
        <v>44</v>
      </c>
    </row>
    <row r="31" spans="1:5">
      <c r="A31" t="s">
        <v>99</v>
      </c>
      <c r="B31">
        <v>2.1</v>
      </c>
      <c r="C31">
        <f t="shared" si="2"/>
        <v>28</v>
      </c>
    </row>
    <row r="32" spans="1:5">
      <c r="A32" t="s">
        <v>100</v>
      </c>
      <c r="B32">
        <v>0.81</v>
      </c>
      <c r="C32">
        <f t="shared" si="2"/>
        <v>14.55</v>
      </c>
    </row>
    <row r="33" spans="1:26">
      <c r="A33" t="s">
        <v>101</v>
      </c>
      <c r="B33">
        <v>0.16</v>
      </c>
      <c r="C33">
        <f t="shared" si="2"/>
        <v>4.8500000000000005</v>
      </c>
    </row>
    <row r="34" spans="1:26">
      <c r="A34" t="s">
        <v>102</v>
      </c>
      <c r="B34">
        <v>-0.23</v>
      </c>
      <c r="C34">
        <f t="shared" si="2"/>
        <v>-0.35000000000000003</v>
      </c>
    </row>
    <row r="35" spans="1:26">
      <c r="A35" t="s">
        <v>103</v>
      </c>
      <c r="B35">
        <v>-0.42</v>
      </c>
      <c r="C35">
        <f t="shared" si="2"/>
        <v>-3.25</v>
      </c>
      <c r="D35">
        <f>SUM(C27:C35) *3.664</f>
        <v>1182.8491200000001</v>
      </c>
      <c r="E35" t="s">
        <v>106</v>
      </c>
    </row>
    <row r="36" spans="1:26">
      <c r="D36">
        <f>B35*3.664</f>
        <v>-1.53888</v>
      </c>
    </row>
    <row r="38" spans="1:26">
      <c r="A38" t="s">
        <v>94</v>
      </c>
      <c r="B38" s="63">
        <v>-2.44</v>
      </c>
    </row>
    <row r="39" spans="1:26">
      <c r="A39" t="s">
        <v>95</v>
      </c>
      <c r="B39" s="63">
        <v>-2.7</v>
      </c>
      <c r="C39">
        <f>(B38+B39)*4</f>
        <v>-20.560000000000002</v>
      </c>
    </row>
    <row r="40" spans="1:26">
      <c r="A40" t="s">
        <v>96</v>
      </c>
      <c r="B40" s="63">
        <v>-2.59</v>
      </c>
      <c r="C40">
        <f>(B39+B40)*5</f>
        <v>-26.45</v>
      </c>
    </row>
    <row r="41" spans="1:26">
      <c r="A41" t="s">
        <v>97</v>
      </c>
      <c r="B41" s="63">
        <v>-2.2200000000000002</v>
      </c>
      <c r="C41">
        <f t="shared" ref="C41:C47" si="3">(B40+B41)*5</f>
        <v>-24.050000000000004</v>
      </c>
    </row>
    <row r="42" spans="1:26">
      <c r="A42" t="s">
        <v>98</v>
      </c>
      <c r="B42" s="63">
        <v>-1.83</v>
      </c>
      <c r="C42">
        <f t="shared" si="3"/>
        <v>-20.250000000000004</v>
      </c>
    </row>
    <row r="43" spans="1:26">
      <c r="A43" t="s">
        <v>99</v>
      </c>
      <c r="B43" s="63">
        <v>-1.52</v>
      </c>
      <c r="C43">
        <f t="shared" si="3"/>
        <v>-16.75</v>
      </c>
    </row>
    <row r="44" spans="1:26">
      <c r="A44" t="s">
        <v>100</v>
      </c>
      <c r="B44" s="63">
        <v>-1.23</v>
      </c>
      <c r="C44">
        <f t="shared" si="3"/>
        <v>-13.75</v>
      </c>
    </row>
    <row r="45" spans="1:26">
      <c r="A45" t="s">
        <v>101</v>
      </c>
      <c r="B45" s="63">
        <v>-0.99</v>
      </c>
      <c r="C45">
        <f t="shared" si="3"/>
        <v>-11.099999999999998</v>
      </c>
    </row>
    <row r="46" spans="1:26">
      <c r="A46" t="s">
        <v>102</v>
      </c>
      <c r="B46" s="63">
        <v>-0.85</v>
      </c>
      <c r="C46">
        <f t="shared" si="3"/>
        <v>-9.1999999999999993</v>
      </c>
    </row>
    <row r="47" spans="1:26">
      <c r="A47" t="s">
        <v>103</v>
      </c>
      <c r="B47" s="63">
        <v>-0.77</v>
      </c>
      <c r="C47">
        <f t="shared" si="3"/>
        <v>-8.1000000000000014</v>
      </c>
      <c r="D47">
        <f>SUM(C39:C47) *3.664</f>
        <v>-550.36943999999994</v>
      </c>
      <c r="E47" t="s">
        <v>107</v>
      </c>
      <c r="U47">
        <v>2010</v>
      </c>
      <c r="V47">
        <v>2020</v>
      </c>
    </row>
    <row r="48" spans="1:26">
      <c r="T48" s="62" t="s">
        <v>92</v>
      </c>
      <c r="U48" s="62">
        <v>8.61</v>
      </c>
      <c r="V48" s="5">
        <v>9</v>
      </c>
      <c r="W48" s="61">
        <v>986</v>
      </c>
      <c r="X48">
        <f>U54/U48</f>
        <v>0.51951219512195124</v>
      </c>
      <c r="Y48">
        <f>V54/V48</f>
        <v>0.497</v>
      </c>
      <c r="Z48">
        <f>W54/W48</f>
        <v>0.22109533468559839</v>
      </c>
    </row>
    <row r="49" spans="1:26">
      <c r="T49" s="62" t="s">
        <v>74</v>
      </c>
      <c r="U49" s="62">
        <v>1.0900000000000001</v>
      </c>
      <c r="V49" s="5">
        <v>0.97</v>
      </c>
      <c r="W49" s="61">
        <v>215</v>
      </c>
    </row>
    <row r="50" spans="1:26">
      <c r="A50" t="s">
        <v>94</v>
      </c>
      <c r="B50">
        <v>-1.49</v>
      </c>
      <c r="T50" s="62" t="s">
        <v>93</v>
      </c>
      <c r="U50" s="62">
        <v>9.6999999999999993</v>
      </c>
      <c r="V50" s="5">
        <v>9.9700000000000006</v>
      </c>
      <c r="W50" s="61">
        <v>1183</v>
      </c>
    </row>
    <row r="51" spans="1:26">
      <c r="A51" t="s">
        <v>95</v>
      </c>
      <c r="B51">
        <v>-1.24</v>
      </c>
      <c r="C51">
        <f>(B50+B51)*4</f>
        <v>-10.92</v>
      </c>
      <c r="V51" s="5"/>
      <c r="W51" s="61"/>
    </row>
    <row r="52" spans="1:26">
      <c r="A52" t="s">
        <v>96</v>
      </c>
      <c r="B52">
        <v>-1.28</v>
      </c>
      <c r="C52">
        <f>(B51+B52)*5</f>
        <v>-12.6</v>
      </c>
      <c r="T52" s="62" t="s">
        <v>115</v>
      </c>
      <c r="U52" s="62">
        <v>-1.49</v>
      </c>
      <c r="V52" s="5">
        <v>-1.24</v>
      </c>
      <c r="W52" s="61">
        <v>-243</v>
      </c>
    </row>
    <row r="53" spans="1:26">
      <c r="A53" t="s">
        <v>97</v>
      </c>
      <c r="B53">
        <v>-1.21</v>
      </c>
      <c r="C53">
        <f t="shared" ref="C53:C59" si="4">(B52+B53)*5</f>
        <v>-12.450000000000001</v>
      </c>
      <c r="V53" s="5"/>
      <c r="W53" s="61"/>
    </row>
    <row r="54" spans="1:26">
      <c r="A54" t="s">
        <v>98</v>
      </c>
      <c r="B54">
        <v>-1</v>
      </c>
      <c r="C54">
        <f t="shared" si="4"/>
        <v>-11.05</v>
      </c>
      <c r="T54" s="62" t="s">
        <v>89</v>
      </c>
      <c r="U54" s="5">
        <f>2.1*2.13</f>
        <v>4.4729999999999999</v>
      </c>
      <c r="V54" s="5">
        <f>2.1*2.13</f>
        <v>4.4729999999999999</v>
      </c>
      <c r="W54" s="61">
        <v>218</v>
      </c>
      <c r="X54">
        <f>U54/U48</f>
        <v>0.51951219512195124</v>
      </c>
      <c r="Y54">
        <f>V54/V48</f>
        <v>0.497</v>
      </c>
      <c r="Z54">
        <f>W54/W48</f>
        <v>0.22109533468559839</v>
      </c>
    </row>
    <row r="55" spans="1:26">
      <c r="A55" t="s">
        <v>99</v>
      </c>
      <c r="B55">
        <v>-0.76</v>
      </c>
      <c r="C55">
        <f t="shared" si="4"/>
        <v>-8.8000000000000007</v>
      </c>
      <c r="T55" s="62" t="s">
        <v>90</v>
      </c>
      <c r="U55" s="62">
        <v>2.44</v>
      </c>
      <c r="V55" s="5">
        <v>2.7</v>
      </c>
      <c r="W55" s="61">
        <v>550</v>
      </c>
    </row>
    <row r="56" spans="1:26">
      <c r="A56" t="s">
        <v>100</v>
      </c>
      <c r="B56">
        <v>-0.68</v>
      </c>
      <c r="C56">
        <f t="shared" si="4"/>
        <v>-7.1999999999999993</v>
      </c>
      <c r="T56" s="62" t="s">
        <v>91</v>
      </c>
      <c r="U56" s="5">
        <f>U49-U52</f>
        <v>2.58</v>
      </c>
      <c r="V56" s="5">
        <f>V49-V52</f>
        <v>2.21</v>
      </c>
      <c r="W56" s="61">
        <f>W49-W52</f>
        <v>458</v>
      </c>
    </row>
    <row r="57" spans="1:26">
      <c r="A57" t="s">
        <v>101</v>
      </c>
      <c r="B57">
        <v>-0.15</v>
      </c>
      <c r="C57">
        <f t="shared" si="4"/>
        <v>-4.1500000000000004</v>
      </c>
      <c r="T57" s="62" t="s">
        <v>114</v>
      </c>
      <c r="U57" s="5">
        <f>U50-(U54+U55+U56)</f>
        <v>0.20699999999999896</v>
      </c>
      <c r="V57" s="5">
        <f>V50-(V54+V55+V56)</f>
        <v>0.58700000000000152</v>
      </c>
      <c r="W57" s="61">
        <f>W50-(W54+W55+W56)</f>
        <v>-43</v>
      </c>
    </row>
    <row r="58" spans="1:26">
      <c r="A58" t="s">
        <v>102</v>
      </c>
      <c r="B58">
        <v>-0.03</v>
      </c>
      <c r="C58">
        <f t="shared" si="4"/>
        <v>-0.89999999999999991</v>
      </c>
      <c r="T58" s="62" t="s">
        <v>116</v>
      </c>
      <c r="U58" s="5">
        <f>SUM(U54:U57)</f>
        <v>9.6999999999999993</v>
      </c>
      <c r="V58" s="5">
        <f>SUM(V54:V57)</f>
        <v>9.9700000000000006</v>
      </c>
      <c r="W58" s="61">
        <f>SUM(W54:W57)</f>
        <v>1183</v>
      </c>
    </row>
    <row r="59" spans="1:26">
      <c r="A59" t="s">
        <v>103</v>
      </c>
      <c r="B59">
        <v>0.36</v>
      </c>
      <c r="C59">
        <f t="shared" si="4"/>
        <v>1.65</v>
      </c>
      <c r="D59">
        <f>SUM(C51:C59) *3.664</f>
        <v>-243.36288000000002</v>
      </c>
      <c r="E59" t="s">
        <v>108</v>
      </c>
    </row>
    <row r="62" spans="1:26" ht="15.75" thickBot="1">
      <c r="D62">
        <f>SUM(D27:D61)</f>
        <v>387.57792000000006</v>
      </c>
      <c r="E62">
        <f>D62/18</f>
        <v>21.532106666666671</v>
      </c>
    </row>
    <row r="63" spans="1:26" ht="33">
      <c r="T63" s="68"/>
      <c r="U63" s="105"/>
      <c r="V63" s="107" t="s">
        <v>33</v>
      </c>
      <c r="W63" s="69" t="s">
        <v>117</v>
      </c>
      <c r="X63" s="69" t="s">
        <v>119</v>
      </c>
      <c r="Y63" s="70"/>
    </row>
    <row r="64" spans="1:26" ht="49.5">
      <c r="A64" t="s">
        <v>109</v>
      </c>
      <c r="T64" s="71" t="s">
        <v>54</v>
      </c>
      <c r="U64" s="106"/>
      <c r="V64" s="108"/>
      <c r="W64" s="65" t="s">
        <v>118</v>
      </c>
      <c r="X64" s="65" t="s">
        <v>120</v>
      </c>
      <c r="Y64" s="72"/>
    </row>
    <row r="65" spans="1:25" ht="28.5">
      <c r="A65" t="s">
        <v>94</v>
      </c>
      <c r="B65">
        <v>322</v>
      </c>
      <c r="T65" s="73"/>
      <c r="U65" s="67">
        <v>2014</v>
      </c>
      <c r="V65" s="66"/>
      <c r="W65" s="66"/>
      <c r="X65" s="67" t="s">
        <v>121</v>
      </c>
      <c r="Y65" s="74" t="s">
        <v>122</v>
      </c>
    </row>
    <row r="66" spans="1:25" ht="28.5">
      <c r="A66" t="s">
        <v>95</v>
      </c>
      <c r="B66">
        <v>267</v>
      </c>
      <c r="C66">
        <f>(B65+B66)*4</f>
        <v>2356</v>
      </c>
      <c r="T66" s="73"/>
      <c r="U66" s="67">
        <v>2013</v>
      </c>
      <c r="V66" s="66"/>
      <c r="W66" s="67"/>
      <c r="X66" s="67" t="s">
        <v>123</v>
      </c>
      <c r="Y66" s="74"/>
    </row>
    <row r="67" spans="1:25" ht="28.5">
      <c r="A67" t="s">
        <v>96</v>
      </c>
      <c r="B67">
        <v>238</v>
      </c>
      <c r="C67">
        <f>(B66+B67)*5</f>
        <v>2525</v>
      </c>
      <c r="T67" s="73"/>
      <c r="U67" s="67">
        <v>2012</v>
      </c>
      <c r="V67" s="66"/>
      <c r="W67" s="66"/>
      <c r="X67" s="67" t="s">
        <v>124</v>
      </c>
      <c r="Y67" s="74"/>
    </row>
    <row r="68" spans="1:25" ht="28.5">
      <c r="A68" t="s">
        <v>97</v>
      </c>
      <c r="B68">
        <v>223</v>
      </c>
      <c r="C68">
        <f t="shared" ref="C68:C74" si="5">(B67+B68)*5</f>
        <v>2305</v>
      </c>
      <c r="T68" s="73"/>
      <c r="U68" s="67">
        <v>2011</v>
      </c>
      <c r="V68" s="66"/>
      <c r="W68" s="66"/>
      <c r="X68" s="67" t="s">
        <v>125</v>
      </c>
      <c r="Y68" s="74"/>
    </row>
    <row r="69" spans="1:25" ht="28.5">
      <c r="A69" t="s">
        <v>98</v>
      </c>
      <c r="B69">
        <v>192</v>
      </c>
      <c r="C69">
        <f t="shared" si="5"/>
        <v>2075</v>
      </c>
      <c r="T69" s="73"/>
      <c r="U69" s="67">
        <v>2010</v>
      </c>
      <c r="V69" s="66"/>
      <c r="W69" s="67" t="s">
        <v>126</v>
      </c>
      <c r="X69" s="67" t="s">
        <v>127</v>
      </c>
      <c r="Y69" s="75" t="s">
        <v>128</v>
      </c>
    </row>
    <row r="70" spans="1:25" ht="28.5">
      <c r="A70" t="s">
        <v>99</v>
      </c>
      <c r="B70">
        <v>169</v>
      </c>
      <c r="C70">
        <f t="shared" si="5"/>
        <v>1805</v>
      </c>
      <c r="T70" s="73"/>
      <c r="U70" s="67">
        <v>2009</v>
      </c>
      <c r="V70" s="66"/>
      <c r="W70" s="67" t="s">
        <v>129</v>
      </c>
      <c r="X70" s="67" t="s">
        <v>130</v>
      </c>
      <c r="Y70" s="75" t="s">
        <v>131</v>
      </c>
    </row>
    <row r="71" spans="1:25" ht="28.5">
      <c r="A71" t="s">
        <v>100</v>
      </c>
      <c r="B71">
        <v>161</v>
      </c>
      <c r="C71">
        <f t="shared" si="5"/>
        <v>1650</v>
      </c>
      <c r="T71" s="73"/>
      <c r="U71" s="67">
        <v>2008</v>
      </c>
      <c r="V71" s="66"/>
      <c r="W71" s="67" t="s">
        <v>132</v>
      </c>
      <c r="X71" s="67" t="s">
        <v>133</v>
      </c>
      <c r="Y71" s="75" t="s">
        <v>134</v>
      </c>
    </row>
    <row r="72" spans="1:25" ht="28.5">
      <c r="A72" t="s">
        <v>101</v>
      </c>
      <c r="B72">
        <v>155</v>
      </c>
      <c r="C72">
        <f t="shared" si="5"/>
        <v>1580</v>
      </c>
      <c r="T72" s="73"/>
      <c r="U72" s="67">
        <v>2007</v>
      </c>
      <c r="V72" s="66"/>
      <c r="W72" s="67" t="s">
        <v>135</v>
      </c>
      <c r="X72" s="67" t="s">
        <v>136</v>
      </c>
      <c r="Y72" s="75" t="s">
        <v>137</v>
      </c>
    </row>
    <row r="73" spans="1:25" ht="29.25" thickBot="1">
      <c r="A73" t="s">
        <v>102</v>
      </c>
      <c r="B73">
        <v>149</v>
      </c>
      <c r="C73">
        <f t="shared" si="5"/>
        <v>1520</v>
      </c>
      <c r="T73" s="76"/>
      <c r="U73" s="77">
        <v>2006</v>
      </c>
      <c r="V73" s="78"/>
      <c r="W73" s="77" t="s">
        <v>138</v>
      </c>
      <c r="X73" s="77" t="s">
        <v>139</v>
      </c>
      <c r="Y73" s="79" t="s">
        <v>140</v>
      </c>
    </row>
    <row r="74" spans="1:25">
      <c r="A74" t="s">
        <v>103</v>
      </c>
      <c r="B74">
        <v>143</v>
      </c>
      <c r="C74">
        <f t="shared" si="5"/>
        <v>1460</v>
      </c>
      <c r="D74" s="5">
        <f>SUM(C66:C74)/1000</f>
        <v>17.276</v>
      </c>
    </row>
    <row r="75" spans="1:25">
      <c r="D75" s="5">
        <f>B74/1000</f>
        <v>0.14299999999999999</v>
      </c>
    </row>
    <row r="76" spans="1:25">
      <c r="D76">
        <f>100 *B74/B65</f>
        <v>44.409937888198755</v>
      </c>
    </row>
    <row r="77" spans="1:25">
      <c r="A77" t="s">
        <v>110</v>
      </c>
    </row>
    <row r="78" spans="1:25">
      <c r="A78" t="s">
        <v>94</v>
      </c>
      <c r="B78">
        <v>7.7</v>
      </c>
    </row>
    <row r="79" spans="1:25">
      <c r="A79" t="s">
        <v>95</v>
      </c>
      <c r="B79">
        <v>7.4</v>
      </c>
      <c r="C79" s="64">
        <f>(B78+B79)*4</f>
        <v>60.400000000000006</v>
      </c>
      <c r="D79" s="64"/>
    </row>
    <row r="80" spans="1:25">
      <c r="A80" t="s">
        <v>96</v>
      </c>
      <c r="B80">
        <v>7.3</v>
      </c>
      <c r="C80" s="64">
        <f>(B79+B80)*5</f>
        <v>73.5</v>
      </c>
      <c r="D80" s="64"/>
    </row>
    <row r="81" spans="1:4">
      <c r="A81" t="s">
        <v>97</v>
      </c>
      <c r="B81">
        <v>7.1</v>
      </c>
      <c r="C81" s="64">
        <f t="shared" ref="C81:C87" si="6">(B80+B81)*5</f>
        <v>72</v>
      </c>
      <c r="D81" s="64"/>
    </row>
    <row r="82" spans="1:4">
      <c r="A82" t="s">
        <v>98</v>
      </c>
      <c r="B82">
        <v>6.3</v>
      </c>
      <c r="C82" s="64">
        <f t="shared" si="6"/>
        <v>67</v>
      </c>
      <c r="D82" s="64"/>
    </row>
    <row r="83" spans="1:4">
      <c r="A83" t="s">
        <v>99</v>
      </c>
      <c r="B83">
        <v>5.8</v>
      </c>
      <c r="C83" s="64">
        <f t="shared" si="6"/>
        <v>60.5</v>
      </c>
      <c r="D83" s="64"/>
    </row>
    <row r="84" spans="1:4">
      <c r="A84" t="s">
        <v>100</v>
      </c>
      <c r="B84">
        <v>5.7</v>
      </c>
      <c r="C84" s="64">
        <f t="shared" si="6"/>
        <v>57.5</v>
      </c>
      <c r="D84" s="64"/>
    </row>
    <row r="85" spans="1:4">
      <c r="A85" t="s">
        <v>101</v>
      </c>
      <c r="B85">
        <v>5.6</v>
      </c>
      <c r="C85" s="64">
        <f t="shared" si="6"/>
        <v>56.5</v>
      </c>
      <c r="D85" s="64"/>
    </row>
    <row r="86" spans="1:4">
      <c r="A86" t="s">
        <v>102</v>
      </c>
      <c r="B86">
        <v>5.5</v>
      </c>
      <c r="C86" s="64">
        <f t="shared" si="6"/>
        <v>55.5</v>
      </c>
      <c r="D86" s="64"/>
    </row>
    <row r="87" spans="1:4">
      <c r="A87" t="s">
        <v>103</v>
      </c>
      <c r="B87">
        <v>5.3</v>
      </c>
      <c r="C87" s="64">
        <f t="shared" si="6"/>
        <v>54</v>
      </c>
      <c r="D87" s="64">
        <f>SUM(C79:C87)</f>
        <v>556.9</v>
      </c>
    </row>
    <row r="88" spans="1:4">
      <c r="D88">
        <f>B87</f>
        <v>5.3</v>
      </c>
    </row>
    <row r="89" spans="1:4">
      <c r="D89">
        <f>100 *B87/B78</f>
        <v>68.831168831168824</v>
      </c>
    </row>
    <row r="91" spans="1:4">
      <c r="A91" t="s">
        <v>111</v>
      </c>
    </row>
    <row r="92" spans="1:4">
      <c r="A92" t="s">
        <v>112</v>
      </c>
      <c r="B92">
        <v>35.6</v>
      </c>
    </row>
    <row r="93" spans="1:4">
      <c r="A93" t="s">
        <v>94</v>
      </c>
      <c r="B93">
        <v>36.6</v>
      </c>
    </row>
    <row r="94" spans="1:4">
      <c r="A94" t="s">
        <v>95</v>
      </c>
      <c r="B94">
        <v>36.6</v>
      </c>
      <c r="C94" s="64">
        <f>(B93+B94)*4</f>
        <v>292.8</v>
      </c>
      <c r="D94" s="64"/>
    </row>
    <row r="95" spans="1:4">
      <c r="A95" t="s">
        <v>96</v>
      </c>
      <c r="B95">
        <v>35.299999999999997</v>
      </c>
      <c r="C95" s="64">
        <f>(B94+B95)*5</f>
        <v>359.5</v>
      </c>
      <c r="D95" s="64"/>
    </row>
    <row r="96" spans="1:4">
      <c r="A96" t="s">
        <v>97</v>
      </c>
      <c r="B96">
        <v>32.299999999999997</v>
      </c>
      <c r="C96" s="64">
        <f t="shared" ref="C96:C102" si="7">(B95+B96)*5</f>
        <v>338</v>
      </c>
      <c r="D96" s="64"/>
    </row>
    <row r="97" spans="1:4">
      <c r="A97" t="s">
        <v>98</v>
      </c>
      <c r="B97">
        <v>30.3</v>
      </c>
      <c r="C97" s="64">
        <f t="shared" si="7"/>
        <v>313</v>
      </c>
      <c r="D97" s="64"/>
    </row>
    <row r="98" spans="1:4">
      <c r="A98" t="s">
        <v>99</v>
      </c>
      <c r="B98">
        <v>29.6</v>
      </c>
      <c r="C98" s="64">
        <f t="shared" si="7"/>
        <v>299.5</v>
      </c>
      <c r="D98" s="64"/>
    </row>
    <row r="99" spans="1:4">
      <c r="A99" t="s">
        <v>100</v>
      </c>
      <c r="B99">
        <v>28.2</v>
      </c>
      <c r="C99" s="64">
        <f t="shared" si="7"/>
        <v>289</v>
      </c>
      <c r="D99" s="64"/>
    </row>
    <row r="100" spans="1:4">
      <c r="A100" t="s">
        <v>101</v>
      </c>
      <c r="B100">
        <v>27</v>
      </c>
      <c r="C100" s="64">
        <f t="shared" si="7"/>
        <v>276</v>
      </c>
      <c r="D100" s="64"/>
    </row>
    <row r="101" spans="1:4">
      <c r="A101" t="s">
        <v>102</v>
      </c>
      <c r="B101">
        <v>26.4</v>
      </c>
      <c r="C101" s="64">
        <f t="shared" si="7"/>
        <v>267</v>
      </c>
      <c r="D101" s="64"/>
    </row>
    <row r="102" spans="1:4">
      <c r="A102" t="s">
        <v>103</v>
      </c>
      <c r="B102">
        <v>25.5</v>
      </c>
      <c r="C102" s="64">
        <f t="shared" si="7"/>
        <v>259.5</v>
      </c>
      <c r="D102" s="64">
        <f>SUM(C94:C102)</f>
        <v>2694.3</v>
      </c>
    </row>
    <row r="103" spans="1:4">
      <c r="D103">
        <f>B102</f>
        <v>25.5</v>
      </c>
    </row>
    <row r="104" spans="1:4">
      <c r="D104">
        <f>100 *B102/B93</f>
        <v>69.672131147540981</v>
      </c>
    </row>
    <row r="106" spans="1:4">
      <c r="A106" t="s">
        <v>113</v>
      </c>
    </row>
    <row r="107" spans="1:4">
      <c r="A107" t="s">
        <v>94</v>
      </c>
      <c r="B107">
        <v>8.49</v>
      </c>
    </row>
    <row r="108" spans="1:4">
      <c r="A108" t="s">
        <v>95</v>
      </c>
      <c r="B108">
        <v>8.27</v>
      </c>
      <c r="C108" s="64">
        <f>(B107+B108)*4</f>
        <v>67.039999999999992</v>
      </c>
      <c r="D108" s="64"/>
    </row>
    <row r="109" spans="1:4">
      <c r="A109" t="s">
        <v>96</v>
      </c>
      <c r="B109">
        <v>7.03</v>
      </c>
      <c r="C109" s="64">
        <f>(B108+B109)*5</f>
        <v>76.5</v>
      </c>
      <c r="D109" s="64"/>
    </row>
    <row r="110" spans="1:4">
      <c r="A110" t="s">
        <v>97</v>
      </c>
      <c r="B110">
        <v>5.8</v>
      </c>
      <c r="C110" s="64">
        <f t="shared" ref="C110:C116" si="8">(B109+B110)*5</f>
        <v>64.150000000000006</v>
      </c>
      <c r="D110" s="64"/>
    </row>
    <row r="111" spans="1:4">
      <c r="A111" t="s">
        <v>98</v>
      </c>
      <c r="B111">
        <v>5</v>
      </c>
      <c r="C111" s="64">
        <f t="shared" si="8"/>
        <v>54</v>
      </c>
      <c r="D111" s="64"/>
    </row>
    <row r="112" spans="1:4">
      <c r="A112" t="s">
        <v>99</v>
      </c>
      <c r="B112">
        <v>4.46</v>
      </c>
      <c r="C112" s="64">
        <f t="shared" si="8"/>
        <v>47.300000000000004</v>
      </c>
      <c r="D112" s="64"/>
    </row>
    <row r="113" spans="1:4">
      <c r="A113" t="s">
        <v>100</v>
      </c>
      <c r="B113">
        <v>3.99</v>
      </c>
      <c r="C113" s="64">
        <f t="shared" si="8"/>
        <v>42.25</v>
      </c>
      <c r="D113" s="64"/>
    </row>
    <row r="114" spans="1:4">
      <c r="A114" t="s">
        <v>101</v>
      </c>
      <c r="B114">
        <v>3.7</v>
      </c>
      <c r="C114" s="64">
        <f t="shared" si="8"/>
        <v>38.450000000000003</v>
      </c>
      <c r="D114" s="64"/>
    </row>
    <row r="115" spans="1:4">
      <c r="A115" t="s">
        <v>102</v>
      </c>
      <c r="B115">
        <v>3.55</v>
      </c>
      <c r="C115" s="64">
        <f t="shared" si="8"/>
        <v>36.25</v>
      </c>
      <c r="D115" s="64"/>
    </row>
    <row r="116" spans="1:4">
      <c r="A116" t="s">
        <v>103</v>
      </c>
      <c r="B116">
        <v>3.39</v>
      </c>
      <c r="C116" s="64">
        <f t="shared" si="8"/>
        <v>34.699999999999996</v>
      </c>
      <c r="D116" s="64">
        <f>SUM(C108:C116)</f>
        <v>460.64</v>
      </c>
    </row>
    <row r="117" spans="1:4">
      <c r="D117">
        <f>B116</f>
        <v>3.39</v>
      </c>
    </row>
    <row r="118" spans="1:4">
      <c r="D118">
        <f>100 *B116/B107</f>
        <v>39.929328621908127</v>
      </c>
    </row>
  </sheetData>
  <mergeCells count="2">
    <mergeCell ref="U63:U64"/>
    <mergeCell ref="V63:V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Temperature Change Calcs</vt:lpstr>
      <vt:lpstr>Temp For 278</vt:lpstr>
      <vt:lpstr>Sequestration Calcs</vt:lpstr>
      <vt:lpstr>El Nino</vt:lpstr>
      <vt:lpstr>GHG Emission Calcs</vt:lpstr>
      <vt:lpstr>RCP2.6 Data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dc:creator>
  <cp:lastModifiedBy>Bruce</cp:lastModifiedBy>
  <dcterms:created xsi:type="dcterms:W3CDTF">2016-08-16T16:47:00Z</dcterms:created>
  <dcterms:modified xsi:type="dcterms:W3CDTF">2016-09-17T18:42:28Z</dcterms:modified>
</cp:coreProperties>
</file>