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26700" windowHeight="11640"/>
  </bookViews>
  <sheets>
    <sheet name="Summary" sheetId="8" r:id="rId1"/>
    <sheet name="Climate Action Tracker" sheetId="2" r:id="rId2"/>
    <sheet name="Climate Interactive" sheetId="1" r:id="rId3"/>
    <sheet name="Climate Interactive - Ratchets" sheetId="4" r:id="rId4"/>
    <sheet name="MIT" sheetId="3" r:id="rId5"/>
    <sheet name="UNFCCC" sheetId="6" r:id="rId6"/>
    <sheet name="GWP" sheetId="7" r:id="rId7"/>
    <sheet name="Summary -All" sheetId="5" r:id="rId8"/>
  </sheets>
  <calcPr calcId="125725"/>
</workbook>
</file>

<file path=xl/calcChain.xml><?xml version="1.0" encoding="utf-8"?>
<calcChain xmlns="http://schemas.openxmlformats.org/spreadsheetml/2006/main">
  <c r="O55" i="6"/>
  <c r="N55"/>
  <c r="M55"/>
  <c r="L55"/>
  <c r="K55"/>
  <c r="J55"/>
  <c r="I55"/>
  <c r="H55"/>
  <c r="G55"/>
  <c r="F55"/>
  <c r="E55"/>
  <c r="D55"/>
  <c r="C55"/>
  <c r="B55"/>
  <c r="O41"/>
  <c r="N41"/>
  <c r="M41"/>
  <c r="L41"/>
  <c r="K41"/>
  <c r="J41"/>
  <c r="I41"/>
  <c r="H41"/>
  <c r="G41"/>
  <c r="F41"/>
  <c r="E41"/>
  <c r="D41"/>
  <c r="C41"/>
  <c r="B41"/>
  <c r="O49"/>
  <c r="N49"/>
  <c r="M49"/>
  <c r="L49"/>
  <c r="K49"/>
  <c r="J49"/>
  <c r="I49"/>
  <c r="H49"/>
  <c r="G49"/>
  <c r="F49"/>
  <c r="E49"/>
  <c r="D49"/>
  <c r="B43"/>
  <c r="O43"/>
  <c r="N43"/>
  <c r="M43"/>
  <c r="L43"/>
  <c r="K43"/>
  <c r="J43"/>
  <c r="I43"/>
  <c r="H43"/>
  <c r="G43"/>
  <c r="F43"/>
  <c r="E43"/>
  <c r="D43"/>
  <c r="C43"/>
  <c r="C49"/>
  <c r="A60"/>
  <c r="E7" i="2"/>
  <c r="E6"/>
  <c r="E5"/>
  <c r="E4"/>
  <c r="E15"/>
  <c r="E14"/>
  <c r="E13"/>
  <c r="E12"/>
  <c r="E11"/>
  <c r="E10"/>
  <c r="E9"/>
  <c r="E8"/>
  <c r="B19" i="8"/>
  <c r="M13"/>
  <c r="M8"/>
  <c r="J45" i="6"/>
  <c r="J44" s="1"/>
  <c r="K45"/>
  <c r="K44" s="1"/>
  <c r="H45"/>
  <c r="H44" s="1"/>
  <c r="G45"/>
  <c r="F45"/>
  <c r="F44" s="1"/>
  <c r="E45"/>
  <c r="D45"/>
  <c r="D44" s="1"/>
  <c r="G44"/>
  <c r="E44"/>
  <c r="C45"/>
  <c r="C44" s="1"/>
  <c r="U30" i="5"/>
  <c r="K30"/>
  <c r="I30"/>
  <c r="H27" l="1"/>
  <c r="H26"/>
  <c r="H25"/>
  <c r="H24"/>
  <c r="H23"/>
  <c r="H22"/>
  <c r="C25" i="6"/>
  <c r="B25"/>
  <c r="AH30" i="5"/>
  <c r="AI30" s="1"/>
  <c r="AF30"/>
  <c r="AG30" s="1"/>
  <c r="W30"/>
  <c r="W29"/>
  <c r="AH29"/>
  <c r="AI29" s="1"/>
  <c r="AF29"/>
  <c r="AG29" s="1"/>
  <c r="AH65"/>
  <c r="AI65" s="1"/>
  <c r="AF65"/>
  <c r="AG65" s="1"/>
  <c r="AH64"/>
  <c r="AI64" s="1"/>
  <c r="AF64"/>
  <c r="AG64" s="1"/>
  <c r="AH63"/>
  <c r="AI63" s="1"/>
  <c r="AF63"/>
  <c r="AG63" s="1"/>
  <c r="AH62"/>
  <c r="AI62" s="1"/>
  <c r="AF62"/>
  <c r="AG62" s="1"/>
  <c r="AH61"/>
  <c r="AI61" s="1"/>
  <c r="AF61"/>
  <c r="AG61" s="1"/>
  <c r="AH60"/>
  <c r="AI60" s="1"/>
  <c r="AF60"/>
  <c r="AG60" s="1"/>
  <c r="AH59"/>
  <c r="AI59" s="1"/>
  <c r="AF59"/>
  <c r="AG59" s="1"/>
  <c r="AH58"/>
  <c r="AI58" s="1"/>
  <c r="AF58"/>
  <c r="AG58" s="1"/>
  <c r="AH57"/>
  <c r="AI57" s="1"/>
  <c r="AF57"/>
  <c r="AG57" s="1"/>
  <c r="AH56"/>
  <c r="AI56" s="1"/>
  <c r="AF56"/>
  <c r="AG56" s="1"/>
  <c r="AH55"/>
  <c r="AI55" s="1"/>
  <c r="AF55"/>
  <c r="AG55" s="1"/>
  <c r="AH54"/>
  <c r="AI54" s="1"/>
  <c r="AF54"/>
  <c r="AG54" s="1"/>
  <c r="AH53"/>
  <c r="AI53" s="1"/>
  <c r="AF53"/>
  <c r="AG53" s="1"/>
  <c r="AH52"/>
  <c r="AI52" s="1"/>
  <c r="AF52"/>
  <c r="AG52" s="1"/>
  <c r="AH50"/>
  <c r="AI50" s="1"/>
  <c r="AF50"/>
  <c r="AG50" s="1"/>
  <c r="AH49"/>
  <c r="AI49" s="1"/>
  <c r="AF49"/>
  <c r="AG49" s="1"/>
  <c r="AH48"/>
  <c r="AI48" s="1"/>
  <c r="AF48"/>
  <c r="AG48" s="1"/>
  <c r="AH47"/>
  <c r="AI47" s="1"/>
  <c r="AF47"/>
  <c r="AG47" s="1"/>
  <c r="AH46"/>
  <c r="AI46" s="1"/>
  <c r="AF46"/>
  <c r="AG46" s="1"/>
  <c r="AH45"/>
  <c r="AI45" s="1"/>
  <c r="AF45"/>
  <c r="AG45" s="1"/>
  <c r="AH44"/>
  <c r="AI44" s="1"/>
  <c r="AF44"/>
  <c r="AG44" s="1"/>
  <c r="AH43"/>
  <c r="AI43" s="1"/>
  <c r="AF43"/>
  <c r="AG43" s="1"/>
  <c r="AH42"/>
  <c r="AI42" s="1"/>
  <c r="AF42"/>
  <c r="AG42" s="1"/>
  <c r="AH41"/>
  <c r="AI41" s="1"/>
  <c r="AF41"/>
  <c r="AG41" s="1"/>
  <c r="AH40"/>
  <c r="AI40" s="1"/>
  <c r="AF40"/>
  <c r="AG40" s="1"/>
  <c r="AH39"/>
  <c r="AI39" s="1"/>
  <c r="AF39"/>
  <c r="AG39" s="1"/>
  <c r="AH38"/>
  <c r="AI38" s="1"/>
  <c r="AF38"/>
  <c r="AG38" s="1"/>
  <c r="AH37"/>
  <c r="AI37" s="1"/>
  <c r="AF37"/>
  <c r="AG37" s="1"/>
  <c r="AH32"/>
  <c r="AI32" s="1"/>
  <c r="AF32"/>
  <c r="AG32" s="1"/>
  <c r="AH27"/>
  <c r="AI27" s="1"/>
  <c r="AF27"/>
  <c r="AG27" s="1"/>
  <c r="AH26"/>
  <c r="AI26" s="1"/>
  <c r="AF26"/>
  <c r="AG26" s="1"/>
  <c r="AH25"/>
  <c r="AI25" s="1"/>
  <c r="AF25"/>
  <c r="AG25" s="1"/>
  <c r="AH24"/>
  <c r="AI24" s="1"/>
  <c r="AF24"/>
  <c r="AG24" s="1"/>
  <c r="AH23"/>
  <c r="AI23" s="1"/>
  <c r="AF23"/>
  <c r="AG23" s="1"/>
  <c r="AH22"/>
  <c r="AI22" s="1"/>
  <c r="AF22"/>
  <c r="AG22" s="1"/>
  <c r="AH20"/>
  <c r="AI20" s="1"/>
  <c r="AF20"/>
  <c r="AG20" s="1"/>
  <c r="AH19"/>
  <c r="AI19" s="1"/>
  <c r="AF19"/>
  <c r="AG19" s="1"/>
  <c r="AH18"/>
  <c r="AI18" s="1"/>
  <c r="AF18"/>
  <c r="AG18" s="1"/>
  <c r="AH17"/>
  <c r="AI17" s="1"/>
  <c r="AF17"/>
  <c r="AG17" s="1"/>
  <c r="AH16"/>
  <c r="AI16" s="1"/>
  <c r="AF16"/>
  <c r="AG16" s="1"/>
  <c r="AH15"/>
  <c r="AI15" s="1"/>
  <c r="AF15"/>
  <c r="AG15" s="1"/>
  <c r="AH14"/>
  <c r="AI14" s="1"/>
  <c r="AF14"/>
  <c r="AG14" s="1"/>
  <c r="AH13"/>
  <c r="AI13" s="1"/>
  <c r="AF13"/>
  <c r="AG13" s="1"/>
  <c r="AH12"/>
  <c r="AI12" s="1"/>
  <c r="AF12"/>
  <c r="AG12" s="1"/>
  <c r="AH11"/>
  <c r="AI11" s="1"/>
  <c r="AF11"/>
  <c r="AG11" s="1"/>
  <c r="AH10"/>
  <c r="AI10" s="1"/>
  <c r="AF10"/>
  <c r="AG10" s="1"/>
  <c r="AI9"/>
  <c r="AH9"/>
  <c r="AG9"/>
  <c r="AF9"/>
  <c r="O4" i="3"/>
  <c r="I24" i="1" l="1"/>
  <c r="I23"/>
  <c r="I22"/>
  <c r="I21"/>
  <c r="I20"/>
  <c r="I19"/>
  <c r="I12"/>
  <c r="I11"/>
  <c r="I10"/>
  <c r="I9"/>
  <c r="I8"/>
  <c r="I7"/>
  <c r="C4" i="2"/>
  <c r="L32" i="5"/>
  <c r="N4" i="3"/>
  <c r="D9" i="4"/>
  <c r="C9"/>
  <c r="D8"/>
  <c r="C8"/>
  <c r="D7"/>
  <c r="C7"/>
  <c r="D6"/>
  <c r="C6"/>
  <c r="D5"/>
  <c r="C5"/>
  <c r="D4"/>
  <c r="C4"/>
  <c r="D15" i="2"/>
  <c r="C15"/>
  <c r="D14"/>
  <c r="C14"/>
  <c r="D13"/>
  <c r="C13"/>
  <c r="D12"/>
  <c r="C12"/>
  <c r="D11"/>
  <c r="C11"/>
  <c r="D10"/>
  <c r="C10"/>
  <c r="D9"/>
  <c r="C9"/>
  <c r="D8"/>
  <c r="C8"/>
  <c r="D7"/>
  <c r="C7"/>
  <c r="D6"/>
  <c r="C6"/>
  <c r="D5"/>
  <c r="C5"/>
  <c r="D4"/>
  <c r="I57" i="6"/>
  <c r="B57"/>
  <c r="I51"/>
  <c r="B51"/>
  <c r="B49"/>
  <c r="O36"/>
  <c r="O38" s="1"/>
  <c r="N36"/>
  <c r="N38" s="1"/>
  <c r="M36"/>
  <c r="M38" s="1"/>
  <c r="L36"/>
  <c r="L38" s="1"/>
  <c r="K36"/>
  <c r="K38" s="1"/>
  <c r="J36"/>
  <c r="J38" s="1"/>
  <c r="I36"/>
  <c r="I38" s="1"/>
  <c r="H36"/>
  <c r="H38" s="1"/>
  <c r="G36"/>
  <c r="G38" s="1"/>
  <c r="F36"/>
  <c r="F38" s="1"/>
  <c r="E36"/>
  <c r="E38" s="1"/>
  <c r="D36"/>
  <c r="D38" s="1"/>
  <c r="C36"/>
  <c r="C38" s="1"/>
  <c r="B36"/>
  <c r="O35"/>
  <c r="N35"/>
  <c r="M35"/>
  <c r="L35"/>
  <c r="K35"/>
  <c r="J35"/>
  <c r="I35"/>
  <c r="H35"/>
  <c r="G35"/>
  <c r="F35"/>
  <c r="E35"/>
  <c r="D35"/>
  <c r="C35"/>
  <c r="B35"/>
  <c r="N18"/>
  <c r="M18"/>
  <c r="E9" i="4"/>
  <c r="E8"/>
  <c r="E7"/>
  <c r="E6"/>
  <c r="E5"/>
  <c r="E4"/>
  <c r="C46" i="6" l="1"/>
  <c r="C42"/>
  <c r="E46"/>
  <c r="E42"/>
  <c r="G46"/>
  <c r="G42"/>
  <c r="K46"/>
  <c r="K42"/>
  <c r="D46"/>
  <c r="D42"/>
  <c r="F46"/>
  <c r="F42"/>
  <c r="H46"/>
  <c r="H42"/>
  <c r="J46"/>
  <c r="J42"/>
  <c r="B38"/>
  <c r="B44" s="1"/>
  <c r="B45" s="1"/>
  <c r="I44"/>
  <c r="I45" s="1"/>
  <c r="I52"/>
  <c r="I56"/>
  <c r="I58"/>
  <c r="B52"/>
  <c r="B56"/>
  <c r="B58"/>
  <c r="N12" i="1"/>
  <c r="N11"/>
  <c r="N10"/>
  <c r="N9"/>
  <c r="N8"/>
  <c r="N7"/>
  <c r="G25"/>
  <c r="F25"/>
  <c r="E25"/>
  <c r="D25"/>
  <c r="C25"/>
  <c r="B25"/>
  <c r="M24"/>
  <c r="L24"/>
  <c r="K24"/>
  <c r="J24"/>
  <c r="N24"/>
  <c r="M23"/>
  <c r="L23"/>
  <c r="K23"/>
  <c r="J23"/>
  <c r="N23"/>
  <c r="M22"/>
  <c r="L22"/>
  <c r="K22"/>
  <c r="J22"/>
  <c r="N22"/>
  <c r="M21"/>
  <c r="L21"/>
  <c r="K21"/>
  <c r="J21"/>
  <c r="N21"/>
  <c r="M20"/>
  <c r="L20"/>
  <c r="K20"/>
  <c r="J20"/>
  <c r="N20"/>
  <c r="M19"/>
  <c r="L19"/>
  <c r="K19"/>
  <c r="J19"/>
  <c r="C13"/>
  <c r="K12"/>
  <c r="J12"/>
  <c r="K11"/>
  <c r="J11"/>
  <c r="K10"/>
  <c r="J10"/>
  <c r="K9"/>
  <c r="J9"/>
  <c r="K8"/>
  <c r="J8"/>
  <c r="J7"/>
  <c r="K7"/>
  <c r="M12"/>
  <c r="M11"/>
  <c r="M10"/>
  <c r="M9"/>
  <c r="M8"/>
  <c r="M7"/>
  <c r="M13" s="1"/>
  <c r="L12"/>
  <c r="L11"/>
  <c r="L10"/>
  <c r="L9"/>
  <c r="L8"/>
  <c r="L7"/>
  <c r="G13"/>
  <c r="F13"/>
  <c r="B13"/>
  <c r="D13"/>
  <c r="E13"/>
  <c r="H51" i="6" l="1"/>
  <c r="H52" s="1"/>
  <c r="F51"/>
  <c r="F52" s="1"/>
  <c r="D51"/>
  <c r="D52" s="1"/>
  <c r="G51"/>
  <c r="G52" s="1"/>
  <c r="E51"/>
  <c r="E52" s="1"/>
  <c r="C51"/>
  <c r="C52" s="1"/>
  <c r="I46"/>
  <c r="I40" s="1"/>
  <c r="B46"/>
  <c r="B40" s="1"/>
  <c r="J13" i="1"/>
  <c r="L13"/>
  <c r="I13"/>
  <c r="P13" s="1"/>
  <c r="Q13" s="1"/>
  <c r="K13"/>
  <c r="I25"/>
  <c r="P25" s="1"/>
  <c r="Q25" s="1"/>
  <c r="M25"/>
  <c r="N19"/>
  <c r="K25"/>
  <c r="L25"/>
  <c r="J25"/>
  <c r="E57" i="6" l="1"/>
  <c r="E58" s="1"/>
  <c r="E56"/>
  <c r="D57"/>
  <c r="D58" s="1"/>
  <c r="D56"/>
  <c r="H57"/>
  <c r="H58" s="1"/>
  <c r="H56"/>
  <c r="C57"/>
  <c r="C58" s="1"/>
  <c r="C56"/>
  <c r="G57"/>
  <c r="G58" s="1"/>
  <c r="G56"/>
  <c r="F57"/>
  <c r="F58" s="1"/>
  <c r="F56"/>
  <c r="N13" i="1"/>
  <c r="N25"/>
  <c r="J51" i="6" l="1"/>
  <c r="J52" s="1"/>
  <c r="K51"/>
  <c r="K52" s="1"/>
  <c r="K56" l="1"/>
  <c r="K57"/>
  <c r="K58" s="1"/>
  <c r="J56"/>
  <c r="J57"/>
  <c r="J58" s="1"/>
  <c r="O45"/>
  <c r="O44" s="1"/>
  <c r="O42" s="1"/>
  <c r="O46"/>
  <c r="O51" l="1"/>
  <c r="O52" s="1"/>
  <c r="O56" l="1"/>
  <c r="O57"/>
  <c r="O58" s="1"/>
  <c r="L46"/>
  <c r="L45"/>
  <c r="L44" s="1"/>
  <c r="L42" s="1"/>
  <c r="L51" l="1"/>
  <c r="L52" s="1"/>
  <c r="L56" l="1"/>
  <c r="L57"/>
  <c r="L58" s="1"/>
  <c r="N46"/>
  <c r="N45"/>
  <c r="N44" s="1"/>
  <c r="N42" s="1"/>
  <c r="N51" l="1"/>
  <c r="N52" s="1"/>
  <c r="N57" l="1"/>
  <c r="N58" s="1"/>
  <c r="N56"/>
  <c r="M46"/>
  <c r="M45"/>
  <c r="M44" s="1"/>
  <c r="M42" s="1"/>
  <c r="M51" l="1"/>
  <c r="M52" s="1"/>
  <c r="M57" l="1"/>
  <c r="M58" s="1"/>
  <c r="M56"/>
</calcChain>
</file>

<file path=xl/sharedStrings.xml><?xml version="1.0" encoding="utf-8"?>
<sst xmlns="http://schemas.openxmlformats.org/spreadsheetml/2006/main" count="297" uniqueCount="181">
  <si>
    <t>China</t>
  </si>
  <si>
    <t>Other Dev</t>
  </si>
  <si>
    <t>Other Developing</t>
  </si>
  <si>
    <t>India</t>
  </si>
  <si>
    <t>Us</t>
  </si>
  <si>
    <t>EU</t>
  </si>
  <si>
    <t>2012-2020</t>
  </si>
  <si>
    <t>Global GHG Emissions (GTCO2e) - 3.5 degrees C</t>
  </si>
  <si>
    <t>Global GHG Emissions (GTCO2e) - 2 degrees C</t>
  </si>
  <si>
    <t xml:space="preserve">Climate Interactive </t>
  </si>
  <si>
    <t>https://www.climateinteractive.org/analysis/video-how-could-paris-climate-talks-ratchet-up-to-success/</t>
  </si>
  <si>
    <t>Total</t>
  </si>
  <si>
    <t>Annual Emissions</t>
  </si>
  <si>
    <t>Cumulative Emissions</t>
  </si>
  <si>
    <t>AR5 BAU</t>
  </si>
  <si>
    <t>High</t>
  </si>
  <si>
    <t>Low</t>
  </si>
  <si>
    <t>Current Policy Projections</t>
  </si>
  <si>
    <t>Pledges</t>
  </si>
  <si>
    <t>2C consistent</t>
  </si>
  <si>
    <t>Median</t>
  </si>
  <si>
    <t>1.5C consistent</t>
  </si>
  <si>
    <t>Climate Action Tracker</t>
  </si>
  <si>
    <t>CAT_public_data_emissions_pathways_1Oct15.xls</t>
  </si>
  <si>
    <t>BAU</t>
  </si>
  <si>
    <t>INDC Strict</t>
  </si>
  <si>
    <t>Ratchet 1</t>
  </si>
  <si>
    <t>Ratchet 2</t>
  </si>
  <si>
    <t>Ratchet 3</t>
  </si>
  <si>
    <t>2 deg Pathway</t>
  </si>
  <si>
    <t>Climate-Scoreboard-Output-27Oct2015-to-share.xlsx</t>
  </si>
  <si>
    <t xml:space="preserve">Climate Action Tracker </t>
  </si>
  <si>
    <t>Scenario</t>
  </si>
  <si>
    <t>Climate Interactive - "Ratchets"</t>
  </si>
  <si>
    <t>Climate Interactive -3.5 and 2</t>
  </si>
  <si>
    <t>Temp</t>
  </si>
  <si>
    <t>Range</t>
  </si>
  <si>
    <t>Atmos CO2</t>
  </si>
  <si>
    <t>Atmos CO2e</t>
  </si>
  <si>
    <t>2.6-5.9</t>
  </si>
  <si>
    <t>2-4.6</t>
  </si>
  <si>
    <t>1.9-4.3</t>
  </si>
  <si>
    <t>1.7-4</t>
  </si>
  <si>
    <t>1.5-3.5</t>
  </si>
  <si>
    <t>1.1-2.7</t>
  </si>
  <si>
    <t>3.5 Pathway</t>
  </si>
  <si>
    <t>MIT Joint Program</t>
  </si>
  <si>
    <t xml:space="preserve">PERSPECTIVES FROM 2015 </t>
  </si>
  <si>
    <t>Emissions 2012-2100</t>
  </si>
  <si>
    <t xml:space="preserve">Data for these scenarios was not available from the Web page, so estimates for some of the years was obtained by estimating the emissions bases on the graph and then computing the total about by assuming a linear change between each pair of years. </t>
  </si>
  <si>
    <t>UNFCCC</t>
  </si>
  <si>
    <t>Climate Interactive - Ratchets</t>
  </si>
  <si>
    <r>
      <t>MIT Joint Program on the Science and Policy of Global Change</t>
    </r>
    <r>
      <rPr>
        <sz val="12"/>
        <color theme="1"/>
        <rFont val="Times New Roman"/>
        <family val="1"/>
      </rPr>
      <t xml:space="preserve">  </t>
    </r>
  </si>
  <si>
    <t>http://globalchange.mit.edu/files/2015%20Energy%20%26%20Climate%20Outlook.pdf</t>
  </si>
  <si>
    <t>Emissions (GTCO2e)</t>
  </si>
  <si>
    <t>Starting Values</t>
  </si>
  <si>
    <t>Peak Year</t>
  </si>
  <si>
    <t>Emissions In Peak Year</t>
  </si>
  <si>
    <t>Emissions Through Peak Year</t>
  </si>
  <si>
    <t xml:space="preserve">Total Budget </t>
  </si>
  <si>
    <t xml:space="preserve">Remaining Budget </t>
  </si>
  <si>
    <t>Computations to Meet the 2 Degree C Target</t>
  </si>
  <si>
    <t>Number of Years</t>
  </si>
  <si>
    <t>Zero Year</t>
  </si>
  <si>
    <t>Reduction %/Year</t>
  </si>
  <si>
    <t xml:space="preserve">Estimated Costs of CDR </t>
  </si>
  <si>
    <t>CDR Cost/Ton CO2</t>
  </si>
  <si>
    <t>CDR Costs (Trillions of $)</t>
  </si>
  <si>
    <t>Estimated Temperature Increase if No CDR</t>
  </si>
  <si>
    <t>Total Anthropogenic Emissions</t>
  </si>
  <si>
    <t>Temp increase by 2100  if no CDR</t>
  </si>
  <si>
    <t>CO2 to be removed by CDR</t>
  </si>
  <si>
    <t>Total CO2 Emission Equivalent</t>
  </si>
  <si>
    <t>https://docs.google.com/spreadsheets/d/19LBuGJiyOAPDeiKgRe9hWPPVa-dKB5Z_C5PXAw6gflk/edit?pli=1#gid=0</t>
  </si>
  <si>
    <t>CO2 emissions for a specific chance of meeting the 2 degree C target</t>
  </si>
  <si>
    <t>Temperature Increase Target</t>
  </si>
  <si>
    <t>Factor to covert GHG budget to CO2 budget</t>
  </si>
  <si>
    <t>Emissions for a 66% chance (GTCO2)</t>
  </si>
  <si>
    <t>Emissions for a 50% chance (GTCO2)</t>
  </si>
  <si>
    <t>Formula to calulate 66% chance for specific emissions amout</t>
  </si>
  <si>
    <t>http://www.wolframalpha.com/input/?i=interpolating+polynomial</t>
  </si>
  <si>
    <t>interpolating polynomial {1.5,400},{2,1000},{3,2400}</t>
  </si>
  <si>
    <t>A</t>
  </si>
  <si>
    <t>B</t>
  </si>
  <si>
    <t>C</t>
  </si>
  <si>
    <t>Emissons = 133.333XxX + 733.333X - 1000</t>
  </si>
  <si>
    <t>interpolating polynomial {400,1.5},{1000,2},{2400,3}</t>
  </si>
  <si>
    <t>Temperature increase = -5.95238x10-8XxX + .000916667X + 1.14286</t>
  </si>
  <si>
    <t>http://unfccc.int/resource/docs/2015/cop21/eng/07.pdf</t>
  </si>
  <si>
    <t>Peak 2025</t>
  </si>
  <si>
    <t>Climate Sensitivity</t>
  </si>
  <si>
    <t>Linear PCT Emissioms Decline</t>
  </si>
  <si>
    <t>CO2 Removed</t>
  </si>
  <si>
    <t>Peak 2030</t>
  </si>
  <si>
    <t>UNFCCC - temperature increases (66% chance) for various reduction percents (and no CDR)</t>
  </si>
  <si>
    <t xml:space="preserve">UNFCCC  - force temperature increase to 2 degrees C (66% chance) by removing CO2 </t>
  </si>
  <si>
    <t>2.0 Pathway (50%)</t>
  </si>
  <si>
    <t>2012-2025</t>
  </si>
  <si>
    <t>2012-2030</t>
  </si>
  <si>
    <t>CO2 Emissions</t>
  </si>
  <si>
    <t>Greenhouse Gas Emissoins</t>
  </si>
  <si>
    <t>2021-2025</t>
  </si>
  <si>
    <t>2026-2030</t>
  </si>
  <si>
    <t>2031-2060</t>
  </si>
  <si>
    <t>2061-2100</t>
  </si>
  <si>
    <t>Methane</t>
  </si>
  <si>
    <t>GHG</t>
  </si>
  <si>
    <t>NO2</t>
  </si>
  <si>
    <t>https://catalog.data.gov/dataset/global-anthropogenic-emissions-of-non-co2-greenhouse-gases-1990-2020</t>
  </si>
  <si>
    <t>High GWP</t>
  </si>
  <si>
    <t>Non CO2 Emissions (MTCO2e)</t>
  </si>
  <si>
    <t>GWP</t>
  </si>
  <si>
    <t>http://unfccc.int/ghg_data/items/3825.php</t>
  </si>
  <si>
    <t>Lifetime</t>
  </si>
  <si>
    <t>(years)</t>
  </si>
  <si>
    <t>Report Reference</t>
  </si>
  <si>
    <t>Complex</t>
  </si>
  <si>
    <t>NA</t>
  </si>
  <si>
    <t>IPCC 2013 – AR5</t>
  </si>
  <si>
    <t>IPCC 2007 – AR4</t>
  </si>
  <si>
    <t>IPCC 2001 – TAR</t>
  </si>
  <si>
    <t>IPCC 1996 – SAR</t>
  </si>
  <si>
    <t>Table: Global Warming Potential Values from the IPCC for some key GHGs</t>
  </si>
  <si>
    <r>
      <t>Carbon dioxide (CO</t>
    </r>
    <r>
      <rPr>
        <vertAlign val="subscript"/>
        <sz val="11"/>
        <color rgb="FF666666"/>
        <rFont val="Arial"/>
        <family val="2"/>
      </rPr>
      <t>2</t>
    </r>
    <r>
      <rPr>
        <sz val="11"/>
        <color rgb="FF666666"/>
        <rFont val="Arial"/>
        <family val="2"/>
      </rPr>
      <t>)</t>
    </r>
  </si>
  <si>
    <r>
      <t>Methane (CH</t>
    </r>
    <r>
      <rPr>
        <vertAlign val="subscript"/>
        <sz val="11"/>
        <color rgb="FF666666"/>
        <rFont val="Arial"/>
        <family val="2"/>
      </rPr>
      <t>4</t>
    </r>
    <r>
      <rPr>
        <sz val="11"/>
        <color rgb="FF666666"/>
        <rFont val="Arial"/>
        <family val="2"/>
      </rPr>
      <t>)</t>
    </r>
  </si>
  <si>
    <r>
      <t>Nitrous oxide (N</t>
    </r>
    <r>
      <rPr>
        <vertAlign val="subscript"/>
        <sz val="11"/>
        <color rgb="FF666666"/>
        <rFont val="Arial"/>
        <family val="2"/>
      </rPr>
      <t>2</t>
    </r>
    <r>
      <rPr>
        <sz val="11"/>
        <color rgb="FF666666"/>
        <rFont val="Arial"/>
        <family val="2"/>
      </rPr>
      <t>O)</t>
    </r>
  </si>
  <si>
    <t>years</t>
  </si>
  <si>
    <t>http://ghginstitute.org/2010/06/28/what-is-a-global-warming-potential/</t>
  </si>
  <si>
    <t>red the values currently adopted by the UNFCCC</t>
  </si>
  <si>
    <t>IPCC AR5 with GWP from SAR</t>
  </si>
  <si>
    <t>IPCC AR5 with GWP from AR5</t>
  </si>
  <si>
    <t>Increase 2010-2025</t>
  </si>
  <si>
    <t>Amount</t>
  </si>
  <si>
    <t>Pct</t>
  </si>
  <si>
    <t>Increase 2010-2030</t>
  </si>
  <si>
    <t>GHG Emissions in Peak Year</t>
  </si>
  <si>
    <t>CO2 Emissions from 2012 to Peak Year</t>
  </si>
  <si>
    <t>GHG Emissions in 2010</t>
  </si>
  <si>
    <t>CO2 Emissions in Peak Year</t>
  </si>
  <si>
    <t>%GHG for CO2</t>
  </si>
  <si>
    <t>Outside the range of expected values</t>
  </si>
  <si>
    <t>2 degree C pathways</t>
  </si>
  <si>
    <t>Pct Chance</t>
  </si>
  <si>
    <t>CO2 2012-2100</t>
  </si>
  <si>
    <t>CH4 2012-2100</t>
  </si>
  <si>
    <t>NO2 2012-2100</t>
  </si>
  <si>
    <t>Other 2012-2100</t>
  </si>
  <si>
    <t>Total 2012-2100</t>
  </si>
  <si>
    <t>Net CO2 Emissions</t>
  </si>
  <si>
    <t>Implied CO2 Emissoins</t>
  </si>
  <si>
    <t>CDR $/Ton C02</t>
  </si>
  <si>
    <t>CDR Costs ($Trillion)</t>
  </si>
  <si>
    <t>Emission Equivalent From Feedbacks</t>
  </si>
  <si>
    <t xml:space="preserve">Computations Which Include Emission-Equivalent Feedbacks </t>
  </si>
  <si>
    <t>INDCs</t>
  </si>
  <si>
    <t>2 Degree Pathway</t>
  </si>
  <si>
    <t>2012-2100</t>
  </si>
  <si>
    <t>Emissions</t>
  </si>
  <si>
    <t>Cum. Emissions</t>
  </si>
  <si>
    <t xml:space="preserve">PERSP.  - 2015 </t>
  </si>
  <si>
    <t>INDC Strict (2-4.6)</t>
  </si>
  <si>
    <t>2 deg Pathway (1.1-2.7</t>
  </si>
  <si>
    <t>2.0 Pathway (50% chance)</t>
  </si>
  <si>
    <t>Greenhouse Gas Emissions (GTCO2e)</t>
  </si>
  <si>
    <t>Temp Incr.</t>
  </si>
  <si>
    <t>Climate Sens.+</t>
  </si>
  <si>
    <t>Temp Incr if CS = 3.0*</t>
  </si>
  <si>
    <t>* - The expected temperature increase if it turns out that the climate sensitivity is 3.0</t>
  </si>
  <si>
    <t>To get 2 degrees of warming with a climate sensitivity of 3.0 a maximun of 1100 GTC can be emitted</t>
  </si>
  <si>
    <t>Other GHG removed by CDR+</t>
  </si>
  <si>
    <t xml:space="preserve">  Since other green house gases are about one-third of the CO2 emissions, CO2 CDR must be increased by one-third</t>
  </si>
  <si>
    <t>Total Emissions</t>
  </si>
  <si>
    <t>CO2 Removed by CDR</t>
  </si>
  <si>
    <t>Based on a peak year (2025 or 2030) and a linear reduction to 0</t>
  </si>
  <si>
    <t>CDR is used to remove the "overshoot" emissions</t>
  </si>
  <si>
    <t>The table includes a separate computation for taking feedbacks from a warming world into account</t>
  </si>
  <si>
    <t>CO2 Emissions to meet 2 degree C target (and associated CDR costs)</t>
  </si>
  <si>
    <t>Emission Reduction/Year</t>
  </si>
  <si>
    <t>Bruce Parker</t>
  </si>
  <si>
    <t>Emissions 2012-2025</t>
  </si>
  <si>
    <t>Emissions 2012-2030</t>
  </si>
</sst>
</file>

<file path=xl/styles.xml><?xml version="1.0" encoding="utf-8"?>
<styleSheet xmlns="http://schemas.openxmlformats.org/spreadsheetml/2006/main">
  <numFmts count="1">
    <numFmt numFmtId="164" formatCode="0.0"/>
  </numFmts>
  <fonts count="18">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b/>
      <sz val="12"/>
      <color theme="1"/>
      <name val="Calibri"/>
      <family val="2"/>
      <scheme val="minor"/>
    </font>
    <font>
      <b/>
      <sz val="12"/>
      <color theme="1"/>
      <name val="Times New Roman"/>
      <family val="1"/>
    </font>
    <font>
      <sz val="12"/>
      <color theme="1"/>
      <name val="Times New Roman"/>
      <family val="1"/>
    </font>
    <font>
      <b/>
      <sz val="12"/>
      <name val="Calibri"/>
      <family val="2"/>
      <scheme val="minor"/>
    </font>
    <font>
      <sz val="11"/>
      <name val="Calibri"/>
      <family val="2"/>
    </font>
    <font>
      <sz val="10"/>
      <color theme="1"/>
      <name val="Arial"/>
      <family val="2"/>
    </font>
    <font>
      <sz val="11"/>
      <name val="Calibri"/>
      <family val="2"/>
      <scheme val="minor"/>
    </font>
    <font>
      <b/>
      <sz val="11"/>
      <name val="Calibri"/>
      <family val="2"/>
      <scheme val="minor"/>
    </font>
    <font>
      <sz val="11"/>
      <color rgb="FF666666"/>
      <name val="Arial"/>
      <family val="2"/>
    </font>
    <font>
      <b/>
      <sz val="11"/>
      <color rgb="FF666666"/>
      <name val="Arial"/>
      <family val="2"/>
    </font>
    <font>
      <vertAlign val="subscript"/>
      <sz val="11"/>
      <color rgb="FF666666"/>
      <name val="Arial"/>
      <family val="2"/>
    </font>
    <font>
      <sz val="11"/>
      <color rgb="FF339966"/>
      <name val="Arial"/>
      <family val="2"/>
    </font>
    <font>
      <sz val="11"/>
      <color rgb="FFFF0000"/>
      <name val="Arial"/>
      <family val="2"/>
    </font>
    <font>
      <sz val="11"/>
      <color rgb="FF373737"/>
      <name val="Calibri"/>
      <family val="2"/>
      <scheme val="minor"/>
    </font>
  </fonts>
  <fills count="16">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2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auto="1"/>
      </top>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220">
    <xf numFmtId="0" fontId="0" fillId="0" borderId="0" xfId="0"/>
    <xf numFmtId="0" fontId="0" fillId="0" borderId="0" xfId="0"/>
    <xf numFmtId="1" fontId="0" fillId="0" borderId="0" xfId="0" applyNumberFormat="1"/>
    <xf numFmtId="0" fontId="0" fillId="0" borderId="1" xfId="0" applyBorder="1"/>
    <xf numFmtId="164" fontId="0" fillId="0" borderId="0" xfId="0" applyNumberFormat="1"/>
    <xf numFmtId="0" fontId="2" fillId="0" borderId="1" xfId="0" applyFont="1" applyBorder="1"/>
    <xf numFmtId="1" fontId="0" fillId="0" borderId="1" xfId="0" applyNumberFormat="1" applyBorder="1"/>
    <xf numFmtId="164" fontId="0" fillId="0" borderId="1" xfId="0" applyNumberFormat="1" applyBorder="1"/>
    <xf numFmtId="3" fontId="2" fillId="0" borderId="1" xfId="0" applyNumberFormat="1" applyFont="1" applyFill="1" applyBorder="1"/>
    <xf numFmtId="0" fontId="2" fillId="3" borderId="1" xfId="0" applyFont="1" applyFill="1" applyBorder="1" applyAlignment="1">
      <alignment horizontal="center"/>
    </xf>
    <xf numFmtId="164" fontId="0" fillId="0" borderId="1" xfId="0" applyNumberFormat="1" applyFont="1" applyBorder="1"/>
    <xf numFmtId="0" fontId="0" fillId="0" borderId="1" xfId="0" applyFont="1" applyBorder="1"/>
    <xf numFmtId="3" fontId="0" fillId="0" borderId="1" xfId="0" applyNumberFormat="1" applyFont="1" applyBorder="1"/>
    <xf numFmtId="3" fontId="2" fillId="4" borderId="1" xfId="0" applyNumberFormat="1" applyFont="1" applyFill="1" applyBorder="1"/>
    <xf numFmtId="0" fontId="2" fillId="4" borderId="1" xfId="0" applyFont="1" applyFill="1" applyBorder="1"/>
    <xf numFmtId="0" fontId="0" fillId="0" borderId="0" xfId="0" applyFont="1"/>
    <xf numFmtId="164" fontId="2" fillId="4" borderId="1" xfId="0" applyNumberFormat="1" applyFont="1" applyFill="1" applyBorder="1"/>
    <xf numFmtId="0" fontId="4" fillId="5" borderId="0" xfId="0" applyFont="1" applyFill="1"/>
    <xf numFmtId="0" fontId="0" fillId="5" borderId="0" xfId="0" applyFill="1"/>
    <xf numFmtId="1" fontId="0" fillId="5" borderId="0" xfId="0" applyNumberFormat="1" applyFill="1"/>
    <xf numFmtId="0" fontId="2" fillId="5" borderId="0" xfId="2" applyFont="1" applyFill="1"/>
    <xf numFmtId="0" fontId="0" fillId="0" borderId="0" xfId="0" applyAlignment="1" applyProtection="1">
      <alignment wrapText="1"/>
      <protection locked="0"/>
    </xf>
    <xf numFmtId="2" fontId="0" fillId="0" borderId="0" xfId="0" applyNumberFormat="1" applyAlignment="1">
      <alignment wrapText="1"/>
    </xf>
    <xf numFmtId="0" fontId="4" fillId="0" borderId="0" xfId="0" applyFont="1" applyAlignment="1">
      <alignment wrapText="1"/>
    </xf>
    <xf numFmtId="0" fontId="0" fillId="0" borderId="0" xfId="0" applyAlignment="1">
      <alignment wrapText="1"/>
    </xf>
    <xf numFmtId="0" fontId="0" fillId="0" borderId="0" xfId="0" applyBorder="1"/>
    <xf numFmtId="2" fontId="0" fillId="0" borderId="0" xfId="0" applyNumberFormat="1"/>
    <xf numFmtId="164" fontId="0" fillId="0" borderId="0" xfId="0" applyNumberFormat="1" applyAlignment="1">
      <alignment wrapText="1"/>
    </xf>
    <xf numFmtId="0" fontId="2" fillId="7" borderId="0" xfId="0" applyFont="1" applyFill="1"/>
    <xf numFmtId="0" fontId="2" fillId="7" borderId="0" xfId="0" applyFont="1" applyFill="1" applyBorder="1"/>
    <xf numFmtId="164" fontId="2" fillId="7" borderId="0" xfId="0" applyNumberFormat="1" applyFont="1" applyFill="1" applyBorder="1"/>
    <xf numFmtId="3" fontId="2" fillId="7" borderId="0" xfId="0" applyNumberFormat="1" applyFont="1" applyFill="1"/>
    <xf numFmtId="0" fontId="5" fillId="0" borderId="0" xfId="0" applyFont="1"/>
    <xf numFmtId="0" fontId="2" fillId="0" borderId="0" xfId="0" applyFont="1"/>
    <xf numFmtId="1" fontId="7" fillId="5" borderId="0" xfId="0" applyNumberFormat="1" applyFont="1" applyFill="1"/>
    <xf numFmtId="0" fontId="3" fillId="0" borderId="0" xfId="1" applyAlignment="1" applyProtection="1"/>
    <xf numFmtId="0" fontId="0" fillId="7" borderId="0" xfId="0" applyFont="1" applyFill="1"/>
    <xf numFmtId="0" fontId="0" fillId="0" borderId="0" xfId="0" applyFont="1" applyAlignment="1">
      <alignment wrapText="1"/>
    </xf>
    <xf numFmtId="0" fontId="0" fillId="5" borderId="0" xfId="0" applyFont="1" applyFill="1" applyBorder="1"/>
    <xf numFmtId="3" fontId="0" fillId="5" borderId="0" xfId="0" applyNumberFormat="1" applyFont="1" applyFill="1" applyBorder="1"/>
    <xf numFmtId="164" fontId="0" fillId="5" borderId="0" xfId="0" applyNumberFormat="1" applyFont="1" applyFill="1"/>
    <xf numFmtId="0" fontId="0" fillId="5" borderId="0" xfId="0" applyFont="1" applyFill="1"/>
    <xf numFmtId="3" fontId="0" fillId="0" borderId="0" xfId="0" applyNumberFormat="1" applyFont="1"/>
    <xf numFmtId="164" fontId="0" fillId="0" borderId="0" xfId="0" applyNumberFormat="1" applyFont="1" applyAlignment="1">
      <alignment wrapText="1"/>
    </xf>
    <xf numFmtId="0" fontId="2" fillId="5" borderId="0" xfId="0" applyFont="1" applyFill="1"/>
    <xf numFmtId="0" fontId="2" fillId="0" borderId="0" xfId="0" applyFont="1" applyAlignment="1">
      <alignment wrapText="1"/>
    </xf>
    <xf numFmtId="0" fontId="0" fillId="0" borderId="1" xfId="0" applyBorder="1" applyAlignment="1">
      <alignment wrapText="1"/>
    </xf>
    <xf numFmtId="2" fontId="0" fillId="0" borderId="1" xfId="0" applyNumberFormat="1" applyBorder="1"/>
    <xf numFmtId="164" fontId="0" fillId="0" borderId="1" xfId="0" applyNumberFormat="1" applyBorder="1" applyAlignment="1">
      <alignment wrapText="1"/>
    </xf>
    <xf numFmtId="1" fontId="0" fillId="0" borderId="1" xfId="0" applyNumberFormat="1" applyBorder="1" applyAlignment="1">
      <alignment wrapText="1"/>
    </xf>
    <xf numFmtId="2" fontId="0" fillId="0" borderId="1" xfId="0" applyNumberFormat="1" applyBorder="1" applyAlignment="1">
      <alignment wrapText="1"/>
    </xf>
    <xf numFmtId="0" fontId="8" fillId="6" borderId="1" xfId="1" applyFont="1" applyFill="1" applyBorder="1" applyAlignment="1" applyProtection="1"/>
    <xf numFmtId="0" fontId="0" fillId="6" borderId="1" xfId="0" applyFill="1" applyBorder="1"/>
    <xf numFmtId="9" fontId="0" fillId="0" borderId="1" xfId="0" applyNumberFormat="1" applyBorder="1"/>
    <xf numFmtId="9" fontId="0" fillId="0" borderId="0" xfId="0" applyNumberFormat="1"/>
    <xf numFmtId="0" fontId="9" fillId="0" borderId="1" xfId="0" applyFont="1" applyBorder="1" applyAlignment="1">
      <alignment horizontal="right" wrapText="1"/>
    </xf>
    <xf numFmtId="0" fontId="0" fillId="6" borderId="5" xfId="0" applyFill="1" applyBorder="1"/>
    <xf numFmtId="0" fontId="9" fillId="0" borderId="0" xfId="0" applyFont="1" applyBorder="1" applyAlignment="1">
      <alignment horizontal="right" wrapText="1"/>
    </xf>
    <xf numFmtId="1" fontId="0" fillId="0" borderId="0" xfId="0" applyNumberFormat="1" applyBorder="1"/>
    <xf numFmtId="1" fontId="0" fillId="0" borderId="2" xfId="0" applyNumberFormat="1" applyBorder="1"/>
    <xf numFmtId="1" fontId="0" fillId="0" borderId="4" xfId="0" applyNumberFormat="1" applyBorder="1"/>
    <xf numFmtId="0" fontId="0" fillId="7" borderId="0" xfId="0" applyFill="1" applyAlignment="1">
      <alignment wrapText="1"/>
    </xf>
    <xf numFmtId="0" fontId="0" fillId="0" borderId="0" xfId="0" applyFill="1" applyBorder="1"/>
    <xf numFmtId="164" fontId="0" fillId="0" borderId="0" xfId="0" applyNumberFormat="1" applyFont="1"/>
    <xf numFmtId="1" fontId="0" fillId="0" borderId="0" xfId="0" applyNumberFormat="1" applyAlignment="1">
      <alignment wrapText="1"/>
    </xf>
    <xf numFmtId="164" fontId="0" fillId="7" borderId="0" xfId="0" applyNumberFormat="1" applyFont="1" applyFill="1"/>
    <xf numFmtId="164" fontId="0" fillId="5" borderId="0" xfId="0" applyNumberFormat="1" applyFont="1" applyFill="1" applyBorder="1"/>
    <xf numFmtId="164" fontId="0" fillId="0" borderId="0" xfId="0" applyNumberFormat="1" applyFill="1" applyBorder="1"/>
    <xf numFmtId="0" fontId="2" fillId="7" borderId="0" xfId="0" applyFont="1" applyFill="1" applyAlignment="1">
      <alignment wrapText="1"/>
    </xf>
    <xf numFmtId="1" fontId="0" fillId="7" borderId="0" xfId="0" applyNumberFormat="1" applyFont="1" applyFill="1"/>
    <xf numFmtId="1" fontId="0" fillId="7" borderId="0" xfId="0" applyNumberFormat="1" applyFill="1"/>
    <xf numFmtId="1" fontId="0" fillId="5" borderId="0" xfId="0" applyNumberFormat="1" applyFont="1" applyFill="1" applyBorder="1"/>
    <xf numFmtId="1" fontId="2" fillId="7" borderId="0" xfId="0" applyNumberFormat="1" applyFont="1" applyFill="1" applyBorder="1"/>
    <xf numFmtId="1" fontId="0" fillId="0" borderId="0" xfId="0" applyNumberFormat="1" applyFont="1"/>
    <xf numFmtId="1" fontId="0" fillId="8" borderId="0" xfId="0" applyNumberFormat="1" applyFont="1" applyFill="1" applyBorder="1"/>
    <xf numFmtId="3" fontId="0" fillId="0" borderId="0" xfId="0" applyNumberFormat="1"/>
    <xf numFmtId="3" fontId="0" fillId="8" borderId="0" xfId="0" applyNumberFormat="1" applyFill="1"/>
    <xf numFmtId="1" fontId="0" fillId="8" borderId="0" xfId="0" applyNumberFormat="1" applyFont="1" applyFill="1"/>
    <xf numFmtId="1" fontId="0" fillId="3" borderId="0" xfId="0" applyNumberFormat="1" applyFont="1" applyFill="1" applyBorder="1"/>
    <xf numFmtId="1" fontId="0" fillId="3" borderId="0" xfId="0" applyNumberFormat="1" applyFont="1" applyFill="1"/>
    <xf numFmtId="0" fontId="0" fillId="9" borderId="0" xfId="0" applyFont="1" applyFill="1"/>
    <xf numFmtId="164" fontId="0" fillId="9" borderId="0" xfId="0" applyNumberFormat="1" applyFont="1" applyFill="1"/>
    <xf numFmtId="1" fontId="0" fillId="9" borderId="0" xfId="0" applyNumberFormat="1" applyFont="1" applyFill="1"/>
    <xf numFmtId="0" fontId="0" fillId="9" borderId="0" xfId="0" applyFill="1" applyAlignment="1">
      <alignment wrapText="1"/>
    </xf>
    <xf numFmtId="0" fontId="0" fillId="9" borderId="0" xfId="0" applyFont="1" applyFill="1" applyAlignment="1">
      <alignment wrapText="1"/>
    </xf>
    <xf numFmtId="164" fontId="0" fillId="9" borderId="0" xfId="0" applyNumberFormat="1" applyFont="1" applyFill="1" applyAlignment="1">
      <alignment wrapText="1"/>
    </xf>
    <xf numFmtId="1" fontId="0" fillId="9" borderId="0" xfId="0" applyNumberFormat="1" applyFill="1" applyAlignment="1">
      <alignment wrapText="1"/>
    </xf>
    <xf numFmtId="0" fontId="0" fillId="8" borderId="0" xfId="0" applyFill="1"/>
    <xf numFmtId="164" fontId="0" fillId="8" borderId="0" xfId="0" applyNumberFormat="1" applyFont="1" applyFill="1" applyAlignment="1">
      <alignment wrapText="1"/>
    </xf>
    <xf numFmtId="164" fontId="0" fillId="8" borderId="0" xfId="0" applyNumberFormat="1" applyFont="1" applyFill="1"/>
    <xf numFmtId="164" fontId="0" fillId="3" borderId="0" xfId="0" applyNumberFormat="1" applyFont="1" applyFill="1"/>
    <xf numFmtId="164" fontId="0" fillId="3" borderId="0" xfId="0" applyNumberFormat="1" applyFont="1" applyFill="1" applyAlignment="1">
      <alignment wrapText="1"/>
    </xf>
    <xf numFmtId="0" fontId="0" fillId="3" borderId="0" xfId="0" applyFont="1" applyFill="1"/>
    <xf numFmtId="1" fontId="11" fillId="10" borderId="7" xfId="0" applyNumberFormat="1" applyFont="1" applyFill="1" applyBorder="1" applyAlignment="1">
      <alignment horizontal="center"/>
    </xf>
    <xf numFmtId="1" fontId="11" fillId="10" borderId="8" xfId="0" applyNumberFormat="1" applyFont="1" applyFill="1" applyBorder="1" applyAlignment="1">
      <alignment horizontal="center"/>
    </xf>
    <xf numFmtId="1" fontId="11" fillId="10" borderId="9" xfId="0" applyNumberFormat="1" applyFont="1" applyFill="1" applyBorder="1" applyAlignment="1">
      <alignment horizontal="center"/>
    </xf>
    <xf numFmtId="1" fontId="10" fillId="5" borderId="10" xfId="0" applyNumberFormat="1" applyFont="1" applyFill="1" applyBorder="1"/>
    <xf numFmtId="1" fontId="10" fillId="5" borderId="11" xfId="0" applyNumberFormat="1" applyFont="1" applyFill="1" applyBorder="1" applyAlignment="1">
      <alignment horizontal="right"/>
    </xf>
    <xf numFmtId="1" fontId="10" fillId="5" borderId="12" xfId="0" applyNumberFormat="1" applyFont="1" applyFill="1" applyBorder="1" applyAlignment="1">
      <alignment horizontal="right"/>
    </xf>
    <xf numFmtId="1" fontId="0" fillId="0" borderId="0" xfId="0" applyNumberFormat="1" applyFont="1" applyAlignment="1">
      <alignment horizontal="right"/>
    </xf>
    <xf numFmtId="1" fontId="2" fillId="6" borderId="0" xfId="0" applyNumberFormat="1" applyFont="1" applyFill="1"/>
    <xf numFmtId="1" fontId="0" fillId="6" borderId="0" xfId="0" applyNumberFormat="1" applyFont="1" applyFill="1" applyAlignment="1">
      <alignment horizontal="right"/>
    </xf>
    <xf numFmtId="0" fontId="13" fillId="0" borderId="0" xfId="0" applyFont="1" applyAlignment="1">
      <alignment horizontal="center" wrapText="1"/>
    </xf>
    <xf numFmtId="0" fontId="13" fillId="0" borderId="14" xfId="0" applyFont="1" applyBorder="1" applyAlignment="1">
      <alignment horizontal="center" wrapText="1"/>
    </xf>
    <xf numFmtId="0" fontId="13" fillId="0" borderId="15" xfId="0" applyFont="1" applyBorder="1" applyAlignment="1">
      <alignment horizontal="center" wrapText="1"/>
    </xf>
    <xf numFmtId="0" fontId="12" fillId="0" borderId="13" xfId="0" applyFont="1" applyBorder="1" applyAlignment="1">
      <alignment horizontal="center" wrapText="1"/>
    </xf>
    <xf numFmtId="0" fontId="13" fillId="0" borderId="16" xfId="0" applyFont="1" applyBorder="1" applyAlignment="1">
      <alignment horizontal="center" vertical="top" wrapText="1"/>
    </xf>
    <xf numFmtId="0" fontId="12" fillId="0" borderId="14" xfId="0" applyFont="1" applyBorder="1" applyAlignment="1">
      <alignment horizontal="center" wrapText="1"/>
    </xf>
    <xf numFmtId="0" fontId="15" fillId="0" borderId="14" xfId="0" applyFont="1" applyBorder="1" applyAlignment="1">
      <alignment horizontal="center" wrapText="1"/>
    </xf>
    <xf numFmtId="0" fontId="12" fillId="0" borderId="14" xfId="0" applyFont="1" applyBorder="1" applyAlignment="1">
      <alignment horizontal="center" vertical="top" wrapText="1"/>
    </xf>
    <xf numFmtId="0" fontId="12" fillId="0" borderId="15" xfId="0" applyFont="1" applyBorder="1" applyAlignment="1">
      <alignment horizontal="center" wrapText="1"/>
    </xf>
    <xf numFmtId="0" fontId="16" fillId="0" borderId="15" xfId="0" applyFont="1" applyBorder="1" applyAlignment="1">
      <alignment horizontal="center" wrapText="1"/>
    </xf>
    <xf numFmtId="0" fontId="12" fillId="0" borderId="15" xfId="0" applyFont="1" applyBorder="1" applyAlignment="1">
      <alignment horizontal="center" vertical="top" wrapText="1"/>
    </xf>
    <xf numFmtId="0" fontId="12" fillId="0" borderId="16" xfId="0" applyFont="1" applyBorder="1" applyAlignment="1">
      <alignment horizontal="center" wrapText="1"/>
    </xf>
    <xf numFmtId="0" fontId="12" fillId="0" borderId="16" xfId="0" applyFont="1" applyBorder="1" applyAlignment="1">
      <alignment horizontal="center" vertical="top" wrapText="1"/>
    </xf>
    <xf numFmtId="0" fontId="12" fillId="0" borderId="16" xfId="0" applyFont="1" applyBorder="1" applyAlignment="1">
      <alignment wrapText="1"/>
    </xf>
    <xf numFmtId="0" fontId="0" fillId="0" borderId="0" xfId="0" applyFont="1" applyAlignment="1">
      <alignment horizontal="center"/>
    </xf>
    <xf numFmtId="0" fontId="17" fillId="0" borderId="0" xfId="0" applyFont="1"/>
    <xf numFmtId="164" fontId="8" fillId="6" borderId="1" xfId="1" applyNumberFormat="1" applyFont="1" applyFill="1" applyBorder="1" applyAlignment="1" applyProtection="1"/>
    <xf numFmtId="164" fontId="0" fillId="6" borderId="1" xfId="0" applyNumberFormat="1" applyFill="1" applyBorder="1"/>
    <xf numFmtId="2" fontId="0" fillId="0" borderId="0" xfId="0" applyNumberFormat="1" applyFont="1"/>
    <xf numFmtId="2" fontId="0" fillId="0" borderId="0" xfId="0" applyNumberFormat="1" applyFont="1" applyAlignment="1">
      <alignment wrapText="1"/>
    </xf>
    <xf numFmtId="2" fontId="0" fillId="9" borderId="0" xfId="0" applyNumberFormat="1" applyFont="1" applyFill="1" applyAlignment="1">
      <alignment wrapText="1"/>
    </xf>
    <xf numFmtId="2" fontId="0" fillId="7" borderId="0" xfId="0" applyNumberFormat="1" applyFont="1" applyFill="1"/>
    <xf numFmtId="2" fontId="0" fillId="5" borderId="0" xfId="0" applyNumberFormat="1" applyFont="1" applyFill="1" applyBorder="1"/>
    <xf numFmtId="2" fontId="2" fillId="7" borderId="0" xfId="0" applyNumberFormat="1" applyFont="1" applyFill="1"/>
    <xf numFmtId="2" fontId="0" fillId="9" borderId="0" xfId="0" applyNumberFormat="1" applyFont="1" applyFill="1"/>
    <xf numFmtId="2" fontId="0" fillId="11" borderId="0" xfId="0" applyNumberFormat="1" applyFont="1" applyFill="1" applyBorder="1"/>
    <xf numFmtId="2" fontId="0" fillId="11" borderId="0" xfId="0" applyNumberFormat="1" applyFont="1" applyFill="1"/>
    <xf numFmtId="0" fontId="0" fillId="11" borderId="0" xfId="0" applyFont="1" applyFill="1"/>
    <xf numFmtId="0" fontId="2" fillId="11" borderId="0" xfId="0" applyFont="1" applyFill="1"/>
    <xf numFmtId="0" fontId="2" fillId="8" borderId="0" xfId="0" applyFont="1" applyFill="1"/>
    <xf numFmtId="0" fontId="2" fillId="3" borderId="0" xfId="0" applyFont="1" applyFill="1"/>
    <xf numFmtId="3" fontId="0" fillId="8" borderId="0" xfId="0" applyNumberFormat="1" applyFont="1" applyFill="1" applyBorder="1"/>
    <xf numFmtId="3" fontId="0" fillId="8" borderId="0" xfId="0" applyNumberFormat="1" applyFont="1" applyFill="1"/>
    <xf numFmtId="164" fontId="0" fillId="8" borderId="0" xfId="0" applyNumberFormat="1" applyFont="1" applyFill="1" applyBorder="1"/>
    <xf numFmtId="49" fontId="0" fillId="0" borderId="0" xfId="0" applyNumberFormat="1" applyFont="1" applyAlignment="1">
      <alignment wrapText="1"/>
    </xf>
    <xf numFmtId="49" fontId="0" fillId="0" borderId="0" xfId="0" applyNumberFormat="1" applyAlignment="1">
      <alignment wrapText="1"/>
    </xf>
    <xf numFmtId="49" fontId="0" fillId="7" borderId="0" xfId="0" applyNumberFormat="1" applyFill="1" applyAlignment="1">
      <alignment wrapText="1"/>
    </xf>
    <xf numFmtId="0" fontId="0" fillId="12" borderId="0" xfId="0" applyFont="1" applyFill="1"/>
    <xf numFmtId="2" fontId="0" fillId="0" borderId="0" xfId="0" applyNumberFormat="1" applyFont="1" applyFill="1" applyAlignment="1">
      <alignment wrapText="1"/>
    </xf>
    <xf numFmtId="2" fontId="0" fillId="0" borderId="0" xfId="0" applyNumberFormat="1" applyFont="1" applyFill="1"/>
    <xf numFmtId="2" fontId="0" fillId="0" borderId="0" xfId="0" applyNumberFormat="1" applyFont="1" applyFill="1" applyBorder="1"/>
    <xf numFmtId="2" fontId="2" fillId="0" borderId="0" xfId="0" applyNumberFormat="1" applyFont="1" applyFill="1"/>
    <xf numFmtId="1" fontId="0" fillId="0" borderId="0" xfId="0" applyNumberFormat="1" applyFont="1" applyFill="1" applyBorder="1"/>
    <xf numFmtId="0" fontId="0" fillId="0" borderId="0" xfId="0" applyFill="1"/>
    <xf numFmtId="1" fontId="0" fillId="0" borderId="0" xfId="0" applyNumberFormat="1" applyFill="1" applyBorder="1"/>
    <xf numFmtId="0" fontId="0" fillId="0" borderId="0" xfId="0" applyFill="1" applyAlignment="1">
      <alignment wrapText="1"/>
    </xf>
    <xf numFmtId="0" fontId="2" fillId="0" borderId="0" xfId="0" applyFont="1" applyFill="1" applyBorder="1" applyAlignment="1">
      <alignment wrapText="1"/>
    </xf>
    <xf numFmtId="2" fontId="0" fillId="0" borderId="0" xfId="0" applyNumberFormat="1" applyFill="1" applyBorder="1"/>
    <xf numFmtId="0" fontId="0" fillId="0" borderId="0" xfId="0" applyFont="1" applyFill="1"/>
    <xf numFmtId="0" fontId="2" fillId="0" borderId="0" xfId="0" applyFont="1" applyFill="1" applyAlignment="1">
      <alignment wrapText="1"/>
    </xf>
    <xf numFmtId="0" fontId="0" fillId="0" borderId="0" xfId="0" applyFont="1" applyFill="1" applyAlignment="1">
      <alignment wrapText="1"/>
    </xf>
    <xf numFmtId="49" fontId="0" fillId="0" borderId="1" xfId="0" applyNumberFormat="1" applyFont="1" applyBorder="1" applyAlignment="1">
      <alignment wrapText="1"/>
    </xf>
    <xf numFmtId="0" fontId="0" fillId="13" borderId="1" xfId="0" applyFont="1" applyFill="1" applyBorder="1" applyAlignment="1">
      <alignment wrapText="1"/>
    </xf>
    <xf numFmtId="0" fontId="0" fillId="0" borderId="1" xfId="0" applyFont="1" applyFill="1" applyBorder="1"/>
    <xf numFmtId="0" fontId="1" fillId="0" borderId="1" xfId="2" applyFont="1" applyFill="1" applyBorder="1"/>
    <xf numFmtId="164" fontId="0" fillId="0" borderId="1" xfId="0" applyNumberFormat="1" applyFont="1" applyFill="1" applyBorder="1"/>
    <xf numFmtId="1" fontId="0" fillId="0" borderId="1" xfId="0" applyNumberFormat="1" applyFont="1" applyFill="1" applyBorder="1"/>
    <xf numFmtId="2" fontId="0" fillId="0" borderId="1" xfId="0" applyNumberFormat="1" applyFont="1" applyFill="1" applyBorder="1"/>
    <xf numFmtId="0" fontId="0" fillId="0" borderId="1" xfId="0" applyFill="1" applyBorder="1" applyAlignment="1">
      <alignment wrapText="1"/>
    </xf>
    <xf numFmtId="164" fontId="0" fillId="0" borderId="1" xfId="0" applyNumberFormat="1" applyFont="1" applyFill="1" applyBorder="1" applyAlignment="1">
      <alignment wrapText="1"/>
    </xf>
    <xf numFmtId="0" fontId="0" fillId="0" borderId="1" xfId="0" applyFont="1" applyFill="1" applyBorder="1" applyAlignment="1">
      <alignment wrapText="1"/>
    </xf>
    <xf numFmtId="3" fontId="0" fillId="0" borderId="1" xfId="0" applyNumberFormat="1" applyFill="1" applyBorder="1"/>
    <xf numFmtId="1" fontId="0" fillId="0" borderId="1" xfId="0" applyNumberFormat="1" applyFill="1" applyBorder="1"/>
    <xf numFmtId="0" fontId="0" fillId="0" borderId="1" xfId="0" applyFill="1" applyBorder="1"/>
    <xf numFmtId="0" fontId="0" fillId="13" borderId="1" xfId="0" applyFont="1" applyFill="1" applyBorder="1"/>
    <xf numFmtId="0" fontId="0" fillId="0" borderId="1" xfId="0" applyFont="1" applyBorder="1" applyAlignment="1">
      <alignment wrapText="1"/>
    </xf>
    <xf numFmtId="164" fontId="0" fillId="0" borderId="1" xfId="0" applyNumberFormat="1" applyFont="1" applyBorder="1" applyAlignment="1">
      <alignment wrapText="1"/>
    </xf>
    <xf numFmtId="2" fontId="0" fillId="0" borderId="1" xfId="0" applyNumberFormat="1" applyFont="1" applyBorder="1" applyAlignment="1">
      <alignment wrapText="1"/>
    </xf>
    <xf numFmtId="1" fontId="2" fillId="15" borderId="1" xfId="0" applyNumberFormat="1" applyFont="1" applyFill="1" applyBorder="1"/>
    <xf numFmtId="0" fontId="2" fillId="15" borderId="1" xfId="0" applyFont="1" applyFill="1" applyBorder="1"/>
    <xf numFmtId="164" fontId="2" fillId="0" borderId="1" xfId="0" applyNumberFormat="1" applyFont="1" applyBorder="1"/>
    <xf numFmtId="2" fontId="2" fillId="0" borderId="1" xfId="0" applyNumberFormat="1" applyFont="1" applyBorder="1"/>
    <xf numFmtId="49" fontId="2" fillId="14" borderId="1" xfId="0" applyNumberFormat="1" applyFont="1" applyFill="1" applyBorder="1" applyAlignment="1">
      <alignment wrapText="1"/>
    </xf>
    <xf numFmtId="49" fontId="2" fillId="15" borderId="1" xfId="0" applyNumberFormat="1" applyFont="1" applyFill="1" applyBorder="1" applyAlignment="1">
      <alignment wrapText="1"/>
    </xf>
    <xf numFmtId="49" fontId="2" fillId="0" borderId="1" xfId="0" applyNumberFormat="1" applyFont="1" applyBorder="1" applyAlignment="1">
      <alignment wrapText="1"/>
    </xf>
    <xf numFmtId="0" fontId="2" fillId="0" borderId="0" xfId="0" applyFont="1" applyFill="1" applyAlignment="1"/>
    <xf numFmtId="15" fontId="2" fillId="0" borderId="0" xfId="0" applyNumberFormat="1" applyFont="1" applyFill="1" applyAlignment="1">
      <alignment wrapText="1"/>
    </xf>
    <xf numFmtId="0" fontId="0" fillId="13" borderId="2" xfId="0" applyFont="1" applyFill="1" applyBorder="1" applyAlignment="1"/>
    <xf numFmtId="0" fontId="0" fillId="0" borderId="3" xfId="0" applyBorder="1" applyAlignment="1"/>
    <xf numFmtId="0" fontId="2" fillId="13" borderId="2" xfId="0" applyFont="1" applyFill="1" applyBorder="1" applyAlignment="1"/>
    <xf numFmtId="0" fontId="2" fillId="0" borderId="3" xfId="0" applyFont="1" applyBorder="1" applyAlignment="1"/>
    <xf numFmtId="0" fontId="2" fillId="13" borderId="2" xfId="0" applyFont="1" applyFill="1" applyBorder="1" applyAlignment="1">
      <alignment wrapText="1"/>
    </xf>
    <xf numFmtId="0" fontId="2" fillId="0" borderId="3" xfId="0" applyFont="1" applyBorder="1" applyAlignment="1">
      <alignment wrapText="1"/>
    </xf>
    <xf numFmtId="0" fontId="0" fillId="0" borderId="1" xfId="0" applyBorder="1" applyAlignment="1">
      <alignment wrapText="1"/>
    </xf>
    <xf numFmtId="0" fontId="2" fillId="0" borderId="0" xfId="0" applyFont="1" applyFill="1" applyAlignment="1">
      <alignment wrapText="1"/>
    </xf>
    <xf numFmtId="0" fontId="2" fillId="0" borderId="0" xfId="0" applyFont="1" applyFill="1" applyAlignment="1"/>
    <xf numFmtId="0" fontId="2" fillId="14" borderId="2" xfId="0" applyFont="1" applyFill="1" applyBorder="1" applyAlignment="1"/>
    <xf numFmtId="0" fontId="2" fillId="0" borderId="4" xfId="0" applyFont="1" applyBorder="1" applyAlignment="1"/>
    <xf numFmtId="0" fontId="0" fillId="0" borderId="2" xfId="0" applyBorder="1" applyAlignment="1">
      <alignment wrapText="1"/>
    </xf>
    <xf numFmtId="0" fontId="0" fillId="0" borderId="3" xfId="0" applyBorder="1" applyAlignment="1">
      <alignment wrapText="1"/>
    </xf>
    <xf numFmtId="0" fontId="0" fillId="13" borderId="2" xfId="0" applyFont="1" applyFill="1" applyBorder="1" applyAlignment="1">
      <alignment wrapText="1"/>
    </xf>
    <xf numFmtId="0" fontId="0" fillId="0" borderId="6" xfId="0" applyBorder="1" applyAlignment="1">
      <alignment wrapText="1"/>
    </xf>
    <xf numFmtId="0" fontId="2" fillId="2" borderId="1" xfId="0" applyFont="1" applyFill="1" applyBorder="1" applyAlignment="1"/>
    <xf numFmtId="49" fontId="2" fillId="2" borderId="2" xfId="0" applyNumberFormat="1" applyFont="1" applyFill="1" applyBorder="1" applyAlignment="1"/>
    <xf numFmtId="49" fontId="2" fillId="2" borderId="3" xfId="0" applyNumberFormat="1" applyFont="1" applyFill="1" applyBorder="1" applyAlignment="1"/>
    <xf numFmtId="49" fontId="2" fillId="0" borderId="4" xfId="0" applyNumberFormat="1" applyFont="1" applyBorder="1" applyAlignment="1"/>
    <xf numFmtId="0" fontId="2" fillId="3" borderId="2" xfId="0" applyFont="1" applyFill="1" applyBorder="1" applyAlignment="1">
      <alignment horizontal="center"/>
    </xf>
    <xf numFmtId="0" fontId="0" fillId="3" borderId="3" xfId="0" applyFont="1" applyFill="1" applyBorder="1" applyAlignment="1">
      <alignment horizontal="center"/>
    </xf>
    <xf numFmtId="0" fontId="0" fillId="3" borderId="4" xfId="0" applyFont="1" applyFill="1" applyBorder="1" applyAlignment="1">
      <alignment horizontal="center"/>
    </xf>
    <xf numFmtId="0" fontId="0" fillId="0" borderId="4" xfId="0" applyFont="1" applyBorder="1" applyAlignment="1"/>
    <xf numFmtId="0" fontId="0" fillId="0" borderId="17" xfId="0" applyBorder="1" applyAlignment="1">
      <alignment wrapText="1"/>
    </xf>
    <xf numFmtId="0" fontId="0" fillId="0" borderId="0" xfId="0" applyFont="1" applyAlignment="1">
      <alignment wrapText="1"/>
    </xf>
    <xf numFmtId="0" fontId="0" fillId="0" borderId="0" xfId="0" applyAlignment="1">
      <alignment wrapText="1"/>
    </xf>
    <xf numFmtId="0" fontId="2" fillId="6" borderId="1" xfId="0" applyFont="1" applyFill="1" applyBorder="1" applyAlignment="1">
      <alignment wrapText="1"/>
    </xf>
    <xf numFmtId="49" fontId="0" fillId="0" borderId="6" xfId="0" applyNumberFormat="1" applyBorder="1" applyAlignment="1"/>
    <xf numFmtId="0" fontId="0" fillId="0" borderId="6" xfId="0" applyBorder="1" applyAlignment="1"/>
    <xf numFmtId="49" fontId="2" fillId="6" borderId="2" xfId="0" applyNumberFormat="1" applyFont="1" applyFill="1" applyBorder="1" applyAlignment="1"/>
    <xf numFmtId="49" fontId="2" fillId="6" borderId="3" xfId="0" applyNumberFormat="1" applyFont="1" applyFill="1" applyBorder="1" applyAlignment="1"/>
    <xf numFmtId="49" fontId="2" fillId="6" borderId="4" xfId="0" applyNumberFormat="1" applyFont="1" applyFill="1" applyBorder="1" applyAlignment="1"/>
    <xf numFmtId="0" fontId="2" fillId="6" borderId="2" xfId="0" applyFont="1" applyFill="1" applyBorder="1" applyAlignment="1">
      <alignment horizontal="center"/>
    </xf>
    <xf numFmtId="0" fontId="2" fillId="6" borderId="4" xfId="0" applyFont="1" applyFill="1" applyBorder="1" applyAlignment="1">
      <alignment horizontal="center"/>
    </xf>
    <xf numFmtId="0" fontId="2" fillId="0" borderId="0" xfId="0" applyFont="1" applyAlignment="1">
      <alignment wrapText="1"/>
    </xf>
    <xf numFmtId="0" fontId="12" fillId="0" borderId="14" xfId="0" applyFont="1" applyBorder="1" applyAlignment="1">
      <alignment wrapText="1"/>
    </xf>
    <xf numFmtId="0" fontId="12" fillId="0" borderId="15" xfId="0" applyFont="1" applyBorder="1" applyAlignment="1">
      <alignment wrapText="1"/>
    </xf>
    <xf numFmtId="0" fontId="12" fillId="0" borderId="16" xfId="0" applyFont="1" applyBorder="1" applyAlignment="1">
      <alignment wrapText="1"/>
    </xf>
    <xf numFmtId="0" fontId="12" fillId="0" borderId="14" xfId="0" applyFont="1" applyBorder="1" applyAlignment="1">
      <alignment horizontal="center" wrapText="1"/>
    </xf>
    <xf numFmtId="0" fontId="12" fillId="0" borderId="15" xfId="0" applyFont="1" applyBorder="1" applyAlignment="1">
      <alignment horizontal="center" wrapText="1"/>
    </xf>
    <xf numFmtId="0" fontId="12" fillId="0" borderId="16" xfId="0" applyFont="1" applyBorder="1" applyAlignment="1">
      <alignment horizontal="center" wrapText="1"/>
    </xf>
  </cellXfs>
  <cellStyles count="3">
    <cellStyle name="Hyperlink" xfId="1" builtinId="8"/>
    <cellStyle name="Normal" xfId="0" builtinId="0"/>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globalchange.mit.edu/files/2015%20Energy%20%26%20Climate%20Outlook.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unfccc.int/resource/docs/2015/cop21/eng/07.pdf" TargetMode="External"/><Relationship Id="rId2" Type="http://schemas.openxmlformats.org/officeDocument/2006/relationships/hyperlink" Target="https://docs.google.com/spreadsheets/d/19LBuGJiyOAPDeiKgRe9hWPPVa-dKB5Z_C5PXAw6gflk/edit?pli=1" TargetMode="External"/><Relationship Id="rId1" Type="http://schemas.openxmlformats.org/officeDocument/2006/relationships/hyperlink" Target="http://www.wolframalpha.com/input/?i=interpolating+polynomial" TargetMode="External"/><Relationship Id="rId4"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24"/>
  <sheetViews>
    <sheetView tabSelected="1" workbookViewId="0">
      <selection activeCell="B3" sqref="B3"/>
    </sheetView>
  </sheetViews>
  <sheetFormatPr defaultRowHeight="15"/>
  <cols>
    <col min="1" max="1" width="2" style="15" bestFit="1" customWidth="1"/>
    <col min="2" max="2" width="25.28515625" style="15" customWidth="1"/>
    <col min="3" max="3" width="28.5703125" style="15" customWidth="1"/>
    <col min="4" max="4" width="4.7109375" style="150" customWidth="1"/>
    <col min="5" max="6" width="4.85546875" style="15" customWidth="1"/>
    <col min="7" max="8" width="5.28515625" style="73" customWidth="1"/>
    <col min="9" max="9" width="5.28515625" style="15" customWidth="1"/>
    <col min="10" max="10" width="5.85546875" style="63" customWidth="1"/>
    <col min="11" max="11" width="6.7109375" style="15" customWidth="1"/>
    <col min="12" max="12" width="6.85546875" style="15" customWidth="1"/>
    <col min="13" max="13" width="6.28515625" style="15" customWidth="1"/>
    <col min="14" max="14" width="7.85546875" style="120" customWidth="1"/>
    <col min="15" max="15" width="8.85546875" style="120" customWidth="1"/>
    <col min="16" max="16384" width="9.140625" style="15"/>
  </cols>
  <sheetData>
    <row r="1" spans="1:15">
      <c r="B1" s="186" t="s">
        <v>163</v>
      </c>
      <c r="C1" s="187"/>
    </row>
    <row r="2" spans="1:15">
      <c r="B2" s="151" t="s">
        <v>178</v>
      </c>
      <c r="C2" s="177"/>
    </row>
    <row r="3" spans="1:15">
      <c r="B3" s="178">
        <v>42330</v>
      </c>
      <c r="C3" s="177"/>
    </row>
    <row r="4" spans="1:15">
      <c r="A4" s="11"/>
      <c r="B4" s="11"/>
      <c r="C4" s="11"/>
      <c r="D4" s="188" t="s">
        <v>157</v>
      </c>
      <c r="E4" s="182"/>
      <c r="F4" s="189"/>
      <c r="G4" s="170" t="s">
        <v>158</v>
      </c>
      <c r="H4" s="170"/>
      <c r="I4" s="171"/>
      <c r="J4" s="172"/>
      <c r="K4" s="5"/>
      <c r="L4" s="5"/>
      <c r="M4" s="5"/>
      <c r="N4" s="173"/>
      <c r="O4" s="173"/>
    </row>
    <row r="5" spans="1:15" s="136" customFormat="1" ht="41.25" customHeight="1">
      <c r="A5" s="153"/>
      <c r="B5" s="153"/>
      <c r="C5" s="153"/>
      <c r="D5" s="174">
        <v>2010</v>
      </c>
      <c r="E5" s="174">
        <v>2025</v>
      </c>
      <c r="F5" s="174">
        <v>2030</v>
      </c>
      <c r="G5" s="175" t="s">
        <v>97</v>
      </c>
      <c r="H5" s="175" t="s">
        <v>98</v>
      </c>
      <c r="I5" s="175" t="s">
        <v>156</v>
      </c>
      <c r="J5" s="176" t="s">
        <v>164</v>
      </c>
      <c r="K5" s="176" t="s">
        <v>37</v>
      </c>
      <c r="L5" s="176" t="s">
        <v>38</v>
      </c>
      <c r="M5" s="176" t="s">
        <v>139</v>
      </c>
      <c r="N5" s="176" t="s">
        <v>165</v>
      </c>
      <c r="O5" s="176" t="s">
        <v>166</v>
      </c>
    </row>
    <row r="6" spans="1:15" s="84" customFormat="1">
      <c r="A6" s="154"/>
      <c r="B6" s="183" t="s">
        <v>154</v>
      </c>
      <c r="C6" s="184"/>
      <c r="D6" s="184"/>
      <c r="E6" s="184"/>
      <c r="F6" s="184"/>
      <c r="G6" s="184"/>
      <c r="H6" s="184"/>
      <c r="I6" s="184"/>
      <c r="J6" s="184"/>
      <c r="K6" s="184"/>
      <c r="L6" s="184"/>
      <c r="M6" s="184"/>
      <c r="N6" s="184"/>
      <c r="O6" s="184"/>
    </row>
    <row r="7" spans="1:15">
      <c r="A7" s="11">
        <v>1</v>
      </c>
      <c r="B7" s="155" t="s">
        <v>31</v>
      </c>
      <c r="C7" s="156" t="s">
        <v>18</v>
      </c>
      <c r="D7" s="157">
        <v>47.285396291984249</v>
      </c>
      <c r="E7" s="157">
        <v>52.617578871057205</v>
      </c>
      <c r="F7" s="157">
        <v>53.82336592987685</v>
      </c>
      <c r="G7" s="158">
        <v>713.07834223660007</v>
      </c>
      <c r="H7" s="158">
        <v>979.75090607117352</v>
      </c>
      <c r="I7" s="158">
        <v>4153.8843335198144</v>
      </c>
      <c r="J7" s="157">
        <v>2.7</v>
      </c>
      <c r="K7" s="155"/>
      <c r="L7" s="155"/>
      <c r="M7" s="155"/>
      <c r="N7" s="159">
        <v>2.6</v>
      </c>
      <c r="O7" s="3">
        <v>3.2</v>
      </c>
    </row>
    <row r="8" spans="1:15">
      <c r="A8" s="11">
        <v>2</v>
      </c>
      <c r="B8" s="155" t="s">
        <v>9</v>
      </c>
      <c r="C8" s="160" t="s">
        <v>160</v>
      </c>
      <c r="D8" s="161">
        <v>50.712200000000003</v>
      </c>
      <c r="E8" s="161">
        <v>57.2117</v>
      </c>
      <c r="F8" s="161">
        <v>57.599200000000003</v>
      </c>
      <c r="G8" s="158">
        <v>801.5258</v>
      </c>
      <c r="H8" s="158">
        <v>1088.9455000000003</v>
      </c>
      <c r="I8" s="158">
        <v>6230.2213999999994</v>
      </c>
      <c r="J8" s="157">
        <v>3.5</v>
      </c>
      <c r="K8" s="155">
        <v>675</v>
      </c>
      <c r="L8" s="155">
        <v>860</v>
      </c>
      <c r="M8" s="158">
        <f t="shared" ref="M8" si="0">100*K8/L8</f>
        <v>78.488372093023258</v>
      </c>
      <c r="N8" s="159">
        <v>2.75</v>
      </c>
      <c r="O8" s="3">
        <v>3.8</v>
      </c>
    </row>
    <row r="9" spans="1:15">
      <c r="A9" s="11">
        <v>3</v>
      </c>
      <c r="B9" s="155" t="s">
        <v>9</v>
      </c>
      <c r="C9" s="162" t="s">
        <v>45</v>
      </c>
      <c r="D9" s="157">
        <v>50.6</v>
      </c>
      <c r="E9" s="161">
        <v>56.7</v>
      </c>
      <c r="F9" s="161">
        <v>57.5</v>
      </c>
      <c r="G9" s="163">
        <v>779.8</v>
      </c>
      <c r="H9" s="164">
        <v>1065.3</v>
      </c>
      <c r="I9" s="158">
        <v>6153</v>
      </c>
      <c r="J9" s="157">
        <v>3.5</v>
      </c>
      <c r="K9" s="155"/>
      <c r="L9" s="155"/>
      <c r="M9" s="155"/>
      <c r="N9" s="159">
        <v>2.75</v>
      </c>
      <c r="O9" s="3">
        <v>3.8</v>
      </c>
    </row>
    <row r="10" spans="1:15">
      <c r="A10" s="11">
        <v>4</v>
      </c>
      <c r="B10" s="155" t="s">
        <v>46</v>
      </c>
      <c r="C10" s="165" t="s">
        <v>159</v>
      </c>
      <c r="D10" s="155">
        <v>48.6</v>
      </c>
      <c r="E10" s="48">
        <v>55</v>
      </c>
      <c r="F10" s="48">
        <v>56</v>
      </c>
      <c r="G10" s="158">
        <v>735</v>
      </c>
      <c r="H10" s="158">
        <v>998.44999999999993</v>
      </c>
      <c r="I10" s="158">
        <v>5764</v>
      </c>
      <c r="J10" s="157">
        <v>3.7</v>
      </c>
      <c r="K10" s="155"/>
      <c r="L10" s="155"/>
      <c r="M10" s="155"/>
      <c r="N10" s="159">
        <v>3</v>
      </c>
      <c r="O10" s="3">
        <v>3.7</v>
      </c>
    </row>
    <row r="11" spans="1:15">
      <c r="A11" s="166"/>
      <c r="B11" s="181" t="s">
        <v>155</v>
      </c>
      <c r="C11" s="182"/>
      <c r="D11" s="182"/>
      <c r="E11" s="182"/>
      <c r="F11" s="182"/>
      <c r="G11" s="182"/>
      <c r="H11" s="182"/>
      <c r="I11" s="182"/>
      <c r="J11" s="182"/>
      <c r="K11" s="182"/>
      <c r="L11" s="182"/>
      <c r="M11" s="182"/>
      <c r="N11" s="182"/>
      <c r="O11" s="182"/>
    </row>
    <row r="12" spans="1:15">
      <c r="A12" s="11">
        <v>5</v>
      </c>
      <c r="B12" s="155" t="s">
        <v>31</v>
      </c>
      <c r="C12" s="155" t="s">
        <v>19</v>
      </c>
      <c r="D12" s="157">
        <v>46.686599100000002</v>
      </c>
      <c r="E12" s="157">
        <v>34.292287074308305</v>
      </c>
      <c r="F12" s="157">
        <v>28.36690058576</v>
      </c>
      <c r="G12" s="158">
        <v>568.55940234806371</v>
      </c>
      <c r="H12" s="158">
        <v>722.2446782539605</v>
      </c>
      <c r="I12" s="158">
        <v>1373.6270606902794</v>
      </c>
      <c r="J12" s="157">
        <v>1.7</v>
      </c>
      <c r="K12" s="155"/>
      <c r="L12" s="155"/>
      <c r="M12" s="155"/>
      <c r="N12" s="159">
        <v>2.4</v>
      </c>
      <c r="O12" s="3">
        <v>2.1</v>
      </c>
    </row>
    <row r="13" spans="1:15">
      <c r="A13" s="11">
        <v>6</v>
      </c>
      <c r="B13" s="155" t="s">
        <v>9</v>
      </c>
      <c r="C13" s="160" t="s">
        <v>161</v>
      </c>
      <c r="D13" s="161">
        <v>50.712200000000003</v>
      </c>
      <c r="E13" s="161">
        <v>55.542900000000003</v>
      </c>
      <c r="F13" s="161">
        <v>53.884300000000003</v>
      </c>
      <c r="G13" s="158">
        <v>792.0929000000001</v>
      </c>
      <c r="H13" s="158">
        <v>1064.9502</v>
      </c>
      <c r="I13" s="158">
        <v>2736.7352199999996</v>
      </c>
      <c r="J13" s="157">
        <v>2</v>
      </c>
      <c r="K13" s="155">
        <v>475</v>
      </c>
      <c r="L13" s="155">
        <v>480</v>
      </c>
      <c r="M13" s="158">
        <f>100*K13/L13</f>
        <v>98.958333333333329</v>
      </c>
      <c r="N13" s="159">
        <v>2.2000000000000002</v>
      </c>
      <c r="O13" s="3">
        <v>2.7</v>
      </c>
    </row>
    <row r="14" spans="1:15" ht="15.75" customHeight="1">
      <c r="A14" s="11">
        <v>7</v>
      </c>
      <c r="B14" s="155" t="s">
        <v>9</v>
      </c>
      <c r="C14" s="160" t="s">
        <v>162</v>
      </c>
      <c r="D14" s="157">
        <v>50.6</v>
      </c>
      <c r="E14" s="161">
        <v>56.2</v>
      </c>
      <c r="F14" s="161">
        <v>55.7</v>
      </c>
      <c r="G14" s="158">
        <v>744.25</v>
      </c>
      <c r="H14" s="158">
        <v>1024</v>
      </c>
      <c r="I14" s="158">
        <v>2888</v>
      </c>
      <c r="J14" s="157">
        <v>2</v>
      </c>
      <c r="K14" s="155">
        <v>470</v>
      </c>
      <c r="L14" s="155"/>
      <c r="M14" s="155"/>
      <c r="N14" s="159">
        <v>2.2000000000000002</v>
      </c>
      <c r="O14" s="3">
        <v>2.7</v>
      </c>
    </row>
    <row r="15" spans="1:15">
      <c r="A15" s="179"/>
      <c r="B15" s="180"/>
      <c r="C15" s="180"/>
      <c r="D15" s="180"/>
      <c r="E15" s="180"/>
      <c r="F15" s="180"/>
      <c r="G15" s="180"/>
      <c r="H15" s="180"/>
      <c r="I15" s="180"/>
      <c r="J15" s="180"/>
      <c r="K15" s="180"/>
      <c r="L15" s="180"/>
      <c r="M15" s="180"/>
      <c r="N15" s="180"/>
      <c r="O15" s="180"/>
    </row>
    <row r="16" spans="1:15" s="37" customFormat="1" ht="17.25" customHeight="1">
      <c r="A16" s="167"/>
      <c r="B16" s="185" t="s">
        <v>129</v>
      </c>
      <c r="C16" s="185"/>
      <c r="D16" s="155">
        <v>48.6</v>
      </c>
      <c r="E16" s="11"/>
      <c r="F16" s="11"/>
      <c r="G16" s="164"/>
      <c r="H16" s="6"/>
      <c r="I16" s="46"/>
      <c r="J16" s="168"/>
      <c r="K16" s="167"/>
      <c r="L16" s="167"/>
      <c r="M16" s="167"/>
      <c r="N16" s="50"/>
      <c r="O16" s="50"/>
    </row>
    <row r="17" spans="1:15" s="37" customFormat="1" ht="15" customHeight="1">
      <c r="A17" s="167"/>
      <c r="B17" s="185" t="s">
        <v>130</v>
      </c>
      <c r="C17" s="185"/>
      <c r="D17" s="162">
        <v>51.9</v>
      </c>
      <c r="E17" s="167"/>
      <c r="F17" s="167"/>
      <c r="G17" s="49"/>
      <c r="H17" s="49"/>
      <c r="I17" s="167"/>
      <c r="J17" s="168"/>
      <c r="K17" s="167"/>
      <c r="L17" s="167"/>
      <c r="M17" s="167"/>
      <c r="N17" s="169"/>
      <c r="O17" s="169"/>
    </row>
    <row r="18" spans="1:15" s="37" customFormat="1" ht="15" customHeight="1">
      <c r="A18" s="192"/>
      <c r="B18" s="191"/>
      <c r="C18" s="191"/>
      <c r="D18" s="191"/>
      <c r="E18" s="191"/>
      <c r="F18" s="191"/>
      <c r="G18" s="191"/>
      <c r="H18" s="191"/>
      <c r="I18" s="191"/>
      <c r="J18" s="191"/>
      <c r="K18" s="191"/>
      <c r="L18" s="191"/>
      <c r="M18" s="191"/>
      <c r="N18" s="191"/>
      <c r="O18" s="191"/>
    </row>
    <row r="19" spans="1:15" s="37" customFormat="1" ht="15" customHeight="1">
      <c r="A19" s="167"/>
      <c r="B19" s="190" t="str">
        <f>"+ - Climate sensititity for a doubling of CO2 and assuming that 75% of GHG emissions are CO2"</f>
        <v>+ - Climate sensititity for a doubling of CO2 and assuming that 75% of GHG emissions are CO2</v>
      </c>
      <c r="C19" s="191"/>
      <c r="D19" s="191"/>
      <c r="E19" s="191"/>
      <c r="F19" s="191"/>
      <c r="G19" s="191"/>
      <c r="H19" s="191"/>
      <c r="I19" s="191"/>
      <c r="J19" s="191"/>
      <c r="K19" s="191"/>
      <c r="L19" s="191"/>
      <c r="M19" s="191"/>
      <c r="N19" s="191"/>
      <c r="O19" s="191"/>
    </row>
    <row r="20" spans="1:15" s="37" customFormat="1" ht="15" customHeight="1">
      <c r="A20" s="167"/>
      <c r="B20" s="190" t="s">
        <v>167</v>
      </c>
      <c r="C20" s="191"/>
      <c r="D20" s="191"/>
      <c r="E20" s="191"/>
      <c r="F20" s="191"/>
      <c r="G20" s="191"/>
      <c r="H20" s="191"/>
      <c r="I20" s="191"/>
      <c r="J20" s="191"/>
      <c r="K20" s="191"/>
      <c r="L20" s="191"/>
      <c r="M20" s="191"/>
      <c r="N20" s="191"/>
      <c r="O20" s="191"/>
    </row>
    <row r="21" spans="1:15" s="37" customFormat="1" ht="15" customHeight="1">
      <c r="A21" s="167"/>
      <c r="B21" s="185" t="s">
        <v>168</v>
      </c>
      <c r="C21" s="185"/>
      <c r="D21" s="185"/>
      <c r="E21" s="185"/>
      <c r="F21" s="185"/>
      <c r="G21" s="185"/>
      <c r="H21" s="185"/>
      <c r="I21" s="185"/>
      <c r="J21" s="185"/>
      <c r="K21" s="185"/>
      <c r="L21" s="185"/>
      <c r="M21" s="185"/>
      <c r="N21" s="185"/>
      <c r="O21" s="185"/>
    </row>
    <row r="23" spans="1:15">
      <c r="B23" s="1"/>
      <c r="C23" s="1"/>
    </row>
    <row r="24" spans="1:15">
      <c r="H24" s="120"/>
    </row>
  </sheetData>
  <mergeCells count="11">
    <mergeCell ref="B1:C1"/>
    <mergeCell ref="B21:O21"/>
    <mergeCell ref="D4:F4"/>
    <mergeCell ref="B19:O19"/>
    <mergeCell ref="B20:O20"/>
    <mergeCell ref="A18:O18"/>
    <mergeCell ref="A15:O15"/>
    <mergeCell ref="B11:O11"/>
    <mergeCell ref="B6:O6"/>
    <mergeCell ref="B16:C16"/>
    <mergeCell ref="B17:C1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CS15"/>
  <sheetViews>
    <sheetView workbookViewId="0">
      <selection activeCell="F8" sqref="F8"/>
    </sheetView>
  </sheetViews>
  <sheetFormatPr defaultRowHeight="15"/>
  <cols>
    <col min="1" max="1" width="24.42578125" customWidth="1"/>
    <col min="3" max="4" width="9.140625" style="1"/>
  </cols>
  <sheetData>
    <row r="1" spans="1:97">
      <c r="A1" s="33" t="s">
        <v>22</v>
      </c>
    </row>
    <row r="2" spans="1:97" ht="15.75">
      <c r="A2" t="s">
        <v>23</v>
      </c>
      <c r="G2" s="34">
        <v>2010</v>
      </c>
      <c r="H2" s="34">
        <v>2011</v>
      </c>
      <c r="I2" s="34">
        <v>2012</v>
      </c>
      <c r="J2" s="34">
        <v>2013</v>
      </c>
      <c r="K2" s="34">
        <v>2014</v>
      </c>
      <c r="L2" s="34">
        <v>2015</v>
      </c>
      <c r="M2" s="34">
        <v>2016</v>
      </c>
      <c r="N2" s="34">
        <v>2017</v>
      </c>
      <c r="O2" s="34">
        <v>2018</v>
      </c>
      <c r="P2" s="34">
        <v>2019</v>
      </c>
      <c r="Q2" s="34">
        <v>2020</v>
      </c>
      <c r="R2" s="34">
        <v>2021</v>
      </c>
      <c r="S2" s="34">
        <v>2022</v>
      </c>
      <c r="T2" s="34">
        <v>2023</v>
      </c>
      <c r="U2" s="34">
        <v>2024</v>
      </c>
      <c r="V2" s="34">
        <v>2025</v>
      </c>
      <c r="W2" s="34">
        <v>2026</v>
      </c>
      <c r="X2" s="34">
        <v>2027</v>
      </c>
      <c r="Y2" s="34">
        <v>2028</v>
      </c>
      <c r="Z2" s="34">
        <v>2029</v>
      </c>
      <c r="AA2" s="34">
        <v>2030</v>
      </c>
      <c r="AB2" s="34">
        <v>2031</v>
      </c>
      <c r="AC2" s="34">
        <v>2032</v>
      </c>
      <c r="AD2" s="34">
        <v>2033</v>
      </c>
      <c r="AE2" s="34">
        <v>2034</v>
      </c>
      <c r="AF2" s="34">
        <v>2035</v>
      </c>
      <c r="AG2" s="34">
        <v>2036</v>
      </c>
      <c r="AH2" s="34">
        <v>2037</v>
      </c>
      <c r="AI2" s="34">
        <v>2038</v>
      </c>
      <c r="AJ2" s="34">
        <v>2039</v>
      </c>
      <c r="AK2" s="34">
        <v>2040</v>
      </c>
      <c r="AL2" s="34">
        <v>2041</v>
      </c>
      <c r="AM2" s="34">
        <v>2042</v>
      </c>
      <c r="AN2" s="34">
        <v>2043</v>
      </c>
      <c r="AO2" s="34">
        <v>2044</v>
      </c>
      <c r="AP2" s="34">
        <v>2045</v>
      </c>
      <c r="AQ2" s="34">
        <v>2046</v>
      </c>
      <c r="AR2" s="34">
        <v>2047</v>
      </c>
      <c r="AS2" s="34">
        <v>2048</v>
      </c>
      <c r="AT2" s="34">
        <v>2049</v>
      </c>
      <c r="AU2" s="34">
        <v>2050</v>
      </c>
      <c r="AV2" s="34">
        <v>2051</v>
      </c>
      <c r="AW2" s="34">
        <v>2052</v>
      </c>
      <c r="AX2" s="34">
        <v>2053</v>
      </c>
      <c r="AY2" s="34">
        <v>2054</v>
      </c>
      <c r="AZ2" s="34">
        <v>2055</v>
      </c>
      <c r="BA2" s="34">
        <v>2056</v>
      </c>
      <c r="BB2" s="34">
        <v>2057</v>
      </c>
      <c r="BC2" s="34">
        <v>2058</v>
      </c>
      <c r="BD2" s="34">
        <v>2059</v>
      </c>
      <c r="BE2" s="34">
        <v>2060</v>
      </c>
      <c r="BF2" s="34">
        <v>2061</v>
      </c>
      <c r="BG2" s="34">
        <v>2062</v>
      </c>
      <c r="BH2" s="34">
        <v>2063</v>
      </c>
      <c r="BI2" s="34">
        <v>2064</v>
      </c>
      <c r="BJ2" s="34">
        <v>2065</v>
      </c>
      <c r="BK2" s="34">
        <v>2066</v>
      </c>
      <c r="BL2" s="34">
        <v>2067</v>
      </c>
      <c r="BM2" s="34">
        <v>2068</v>
      </c>
      <c r="BN2" s="34">
        <v>2069</v>
      </c>
      <c r="BO2" s="34">
        <v>2070</v>
      </c>
      <c r="BP2" s="34">
        <v>2071</v>
      </c>
      <c r="BQ2" s="34">
        <v>2072</v>
      </c>
      <c r="BR2" s="34">
        <v>2073</v>
      </c>
      <c r="BS2" s="34">
        <v>2074</v>
      </c>
      <c r="BT2" s="34">
        <v>2075</v>
      </c>
      <c r="BU2" s="34">
        <v>2076</v>
      </c>
      <c r="BV2" s="34">
        <v>2077</v>
      </c>
      <c r="BW2" s="34">
        <v>2078</v>
      </c>
      <c r="BX2" s="34">
        <v>2079</v>
      </c>
      <c r="BY2" s="34">
        <v>2080</v>
      </c>
      <c r="BZ2" s="34">
        <v>2081</v>
      </c>
      <c r="CA2" s="34">
        <v>2082</v>
      </c>
      <c r="CB2" s="34">
        <v>2083</v>
      </c>
      <c r="CC2" s="34">
        <v>2084</v>
      </c>
      <c r="CD2" s="34">
        <v>2085</v>
      </c>
      <c r="CE2" s="34">
        <v>2086</v>
      </c>
      <c r="CF2" s="34">
        <v>2087</v>
      </c>
      <c r="CG2" s="34">
        <v>2088</v>
      </c>
      <c r="CH2" s="34">
        <v>2089</v>
      </c>
      <c r="CI2" s="34">
        <v>2090</v>
      </c>
      <c r="CJ2" s="34">
        <v>2091</v>
      </c>
      <c r="CK2" s="34">
        <v>2092</v>
      </c>
      <c r="CL2" s="34">
        <v>2093</v>
      </c>
      <c r="CM2" s="34">
        <v>2094</v>
      </c>
      <c r="CN2" s="34">
        <v>2095</v>
      </c>
      <c r="CO2" s="34">
        <v>2096</v>
      </c>
      <c r="CP2" s="34">
        <v>2097</v>
      </c>
      <c r="CQ2" s="34">
        <v>2098</v>
      </c>
      <c r="CR2" s="34">
        <v>2099</v>
      </c>
      <c r="CS2" s="34">
        <v>2100</v>
      </c>
    </row>
    <row r="3" spans="1:97" s="1" customFormat="1" ht="15.75">
      <c r="C3" s="1" t="s">
        <v>97</v>
      </c>
      <c r="D3" s="1" t="s">
        <v>98</v>
      </c>
      <c r="E3" s="1" t="s">
        <v>156</v>
      </c>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row>
    <row r="4" spans="1:97" ht="15.75">
      <c r="A4" s="17" t="s">
        <v>14</v>
      </c>
      <c r="B4" s="18" t="s">
        <v>15</v>
      </c>
      <c r="C4" s="19">
        <f>SUM(I4:V4)</f>
        <v>890.60006452046071</v>
      </c>
      <c r="D4" s="19">
        <f>SUM(I4:AA4)</f>
        <v>1284.4883504784823</v>
      </c>
      <c r="E4" s="19">
        <f t="shared" ref="E4:E7" si="0">SUM(I4:CS4)</f>
        <v>10416.363609330787</v>
      </c>
      <c r="G4" s="19">
        <v>48.959143001604332</v>
      </c>
      <c r="H4" s="19">
        <v>50.710020988604327</v>
      </c>
      <c r="I4" s="19">
        <v>52.46089897560433</v>
      </c>
      <c r="J4" s="19">
        <v>54.211776962604333</v>
      </c>
      <c r="K4" s="19">
        <v>55.962654949604328</v>
      </c>
      <c r="L4" s="19">
        <v>57.713532936604331</v>
      </c>
      <c r="M4" s="19">
        <v>59.464410923604326</v>
      </c>
      <c r="N4" s="19">
        <v>61.215288910604329</v>
      </c>
      <c r="O4" s="19">
        <v>62.966166897604332</v>
      </c>
      <c r="P4" s="19">
        <v>64.717044884604334</v>
      </c>
      <c r="Q4" s="19">
        <v>66.46792287160433</v>
      </c>
      <c r="R4" s="19">
        <v>68.006639661604339</v>
      </c>
      <c r="S4" s="19">
        <v>69.54535645160432</v>
      </c>
      <c r="T4" s="19">
        <v>71.084073241604329</v>
      </c>
      <c r="U4" s="19">
        <v>72.622790031604325</v>
      </c>
      <c r="V4" s="19">
        <v>74.161506821604334</v>
      </c>
      <c r="W4" s="19">
        <v>75.700223611604329</v>
      </c>
      <c r="X4" s="19">
        <v>77.238940401604324</v>
      </c>
      <c r="Y4" s="19">
        <v>78.777657191604334</v>
      </c>
      <c r="Z4" s="19">
        <v>80.316373981604329</v>
      </c>
      <c r="AA4" s="19">
        <v>81.855090771604324</v>
      </c>
      <c r="AB4" s="19">
        <v>83.050517410604328</v>
      </c>
      <c r="AC4" s="19">
        <v>84.245944049604319</v>
      </c>
      <c r="AD4" s="19">
        <v>85.441370688604323</v>
      </c>
      <c r="AE4" s="19">
        <v>86.636797327604313</v>
      </c>
      <c r="AF4" s="19">
        <v>87.832223966604332</v>
      </c>
      <c r="AG4" s="19">
        <v>89.027650605604336</v>
      </c>
      <c r="AH4" s="19">
        <v>90.223077244604326</v>
      </c>
      <c r="AI4" s="19">
        <v>91.41850388360433</v>
      </c>
      <c r="AJ4" s="19">
        <v>92.613930522604321</v>
      </c>
      <c r="AK4" s="19">
        <v>93.809357161604325</v>
      </c>
      <c r="AL4" s="19">
        <v>95.468412077504311</v>
      </c>
      <c r="AM4" s="19">
        <v>97.127466993404326</v>
      </c>
      <c r="AN4" s="19">
        <v>98.786521909304312</v>
      </c>
      <c r="AO4" s="19">
        <v>100.44557682520431</v>
      </c>
      <c r="AP4" s="19">
        <v>102.10463174110431</v>
      </c>
      <c r="AQ4" s="19">
        <v>103.7636866570043</v>
      </c>
      <c r="AR4" s="19">
        <v>105.42274157290431</v>
      </c>
      <c r="AS4" s="19">
        <v>107.0817964888043</v>
      </c>
      <c r="AT4" s="19">
        <v>108.74085140470432</v>
      </c>
      <c r="AU4" s="19">
        <v>110.3999063206043</v>
      </c>
      <c r="AV4" s="19">
        <v>111.83580096570431</v>
      </c>
      <c r="AW4" s="19">
        <v>113.27169561080431</v>
      </c>
      <c r="AX4" s="19">
        <v>114.70759025590432</v>
      </c>
      <c r="AY4" s="19">
        <v>116.14348490100431</v>
      </c>
      <c r="AZ4" s="19">
        <v>117.57937954610432</v>
      </c>
      <c r="BA4" s="19">
        <v>119.01527419120433</v>
      </c>
      <c r="BB4" s="19">
        <v>120.45116883630432</v>
      </c>
      <c r="BC4" s="19">
        <v>121.88706348140433</v>
      </c>
      <c r="BD4" s="19">
        <v>123.32295812650432</v>
      </c>
      <c r="BE4" s="19">
        <v>124.75885277160434</v>
      </c>
      <c r="BF4" s="19">
        <v>126.37919332160433</v>
      </c>
      <c r="BG4" s="19">
        <v>127.99953387160433</v>
      </c>
      <c r="BH4" s="19">
        <v>129.61987442160432</v>
      </c>
      <c r="BI4" s="19">
        <v>131.24021497160436</v>
      </c>
      <c r="BJ4" s="19">
        <v>132.86055552160434</v>
      </c>
      <c r="BK4" s="19">
        <v>134.48089607160435</v>
      </c>
      <c r="BL4" s="19">
        <v>136.10123662160433</v>
      </c>
      <c r="BM4" s="19">
        <v>137.72157717160434</v>
      </c>
      <c r="BN4" s="19">
        <v>139.34191772160435</v>
      </c>
      <c r="BO4" s="19">
        <v>140.96225827160433</v>
      </c>
      <c r="BP4" s="19">
        <v>141.74471066160433</v>
      </c>
      <c r="BQ4" s="19">
        <v>142.52716305160436</v>
      </c>
      <c r="BR4" s="19">
        <v>143.30961544160434</v>
      </c>
      <c r="BS4" s="19">
        <v>144.09206783160434</v>
      </c>
      <c r="BT4" s="19">
        <v>144.87452022160431</v>
      </c>
      <c r="BU4" s="19">
        <v>145.65697261160435</v>
      </c>
      <c r="BV4" s="19">
        <v>146.43942500160435</v>
      </c>
      <c r="BW4" s="19">
        <v>147.22187739160432</v>
      </c>
      <c r="BX4" s="19">
        <v>148.00432978160435</v>
      </c>
      <c r="BY4" s="19">
        <v>148.78678217160433</v>
      </c>
      <c r="BZ4" s="19">
        <v>150.03883602160434</v>
      </c>
      <c r="CA4" s="19">
        <v>151.29088987160432</v>
      </c>
      <c r="CB4" s="19">
        <v>152.54294372160433</v>
      </c>
      <c r="CC4" s="19">
        <v>153.79499757160431</v>
      </c>
      <c r="CD4" s="19">
        <v>155.04705142160435</v>
      </c>
      <c r="CE4" s="19">
        <v>156.29910527160436</v>
      </c>
      <c r="CF4" s="19">
        <v>157.55115912160434</v>
      </c>
      <c r="CG4" s="19">
        <v>158.80321297160435</v>
      </c>
      <c r="CH4" s="19">
        <v>160.05526682160433</v>
      </c>
      <c r="CI4" s="19">
        <v>161.30732067160434</v>
      </c>
      <c r="CJ4" s="19">
        <v>162.69081727160432</v>
      </c>
      <c r="CK4" s="19">
        <v>164.07431387160435</v>
      </c>
      <c r="CL4" s="19">
        <v>165.45781047160435</v>
      </c>
      <c r="CM4" s="19">
        <v>166.84130707160432</v>
      </c>
      <c r="CN4" s="19">
        <v>168.22480367160432</v>
      </c>
      <c r="CO4" s="19">
        <v>169.60830027160432</v>
      </c>
      <c r="CP4" s="19">
        <v>170.99179687160435</v>
      </c>
      <c r="CQ4" s="19">
        <v>172.37529347160432</v>
      </c>
      <c r="CR4" s="19">
        <v>173.7587900716043</v>
      </c>
      <c r="CS4" s="19">
        <v>175.14228667160432</v>
      </c>
    </row>
    <row r="5" spans="1:97">
      <c r="A5" s="18"/>
      <c r="B5" s="18" t="s">
        <v>16</v>
      </c>
      <c r="C5" s="19">
        <f t="shared" ref="C5:C15" si="1">SUM(I5:V5)</f>
        <v>722.48240219951083</v>
      </c>
      <c r="D5" s="19">
        <f t="shared" ref="D5:D15" si="2">SUM(I5:AA5)</f>
        <v>1014.8760867610325</v>
      </c>
      <c r="E5" s="19">
        <f t="shared" si="0"/>
        <v>6550.5149901028335</v>
      </c>
      <c r="G5" s="19">
        <v>43.796386921604331</v>
      </c>
      <c r="H5" s="19">
        <v>44.755959696554335</v>
      </c>
      <c r="I5" s="19">
        <v>45.715532471504332</v>
      </c>
      <c r="J5" s="19">
        <v>46.675105246454329</v>
      </c>
      <c r="K5" s="19">
        <v>47.634678021404333</v>
      </c>
      <c r="L5" s="19">
        <v>48.594250796354331</v>
      </c>
      <c r="M5" s="19">
        <v>49.553823571304335</v>
      </c>
      <c r="N5" s="19">
        <v>50.513396346254332</v>
      </c>
      <c r="O5" s="19">
        <v>51.472969121204329</v>
      </c>
      <c r="P5" s="19">
        <v>52.432541896154333</v>
      </c>
      <c r="Q5" s="19">
        <v>53.392114671104331</v>
      </c>
      <c r="R5" s="19">
        <v>54.027942451254333</v>
      </c>
      <c r="S5" s="19">
        <v>54.663770231404335</v>
      </c>
      <c r="T5" s="19">
        <v>55.299598011554338</v>
      </c>
      <c r="U5" s="19">
        <v>55.935425791704333</v>
      </c>
      <c r="V5" s="19">
        <v>56.571253571854335</v>
      </c>
      <c r="W5" s="19">
        <v>57.20708135200433</v>
      </c>
      <c r="X5" s="19">
        <v>57.842909132154332</v>
      </c>
      <c r="Y5" s="19">
        <v>58.478736912304335</v>
      </c>
      <c r="Z5" s="19">
        <v>59.11456469245433</v>
      </c>
      <c r="AA5" s="19">
        <v>59.750392472604332</v>
      </c>
      <c r="AB5" s="19">
        <v>60.345928961404333</v>
      </c>
      <c r="AC5" s="19">
        <v>60.941465450204333</v>
      </c>
      <c r="AD5" s="19">
        <v>61.537001939004334</v>
      </c>
      <c r="AE5" s="19">
        <v>62.132538427804334</v>
      </c>
      <c r="AF5" s="19">
        <v>62.728074916604335</v>
      </c>
      <c r="AG5" s="19">
        <v>63.323611405404328</v>
      </c>
      <c r="AH5" s="19">
        <v>63.919147894204329</v>
      </c>
      <c r="AI5" s="19">
        <v>64.514684383004322</v>
      </c>
      <c r="AJ5" s="19">
        <v>65.11022087180433</v>
      </c>
      <c r="AK5" s="19">
        <v>65.705757360604323</v>
      </c>
      <c r="AL5" s="19">
        <v>66.533693421154325</v>
      </c>
      <c r="AM5" s="19">
        <v>67.361629481704327</v>
      </c>
      <c r="AN5" s="19">
        <v>68.189565542254329</v>
      </c>
      <c r="AO5" s="19">
        <v>69.01750160280433</v>
      </c>
      <c r="AP5" s="19">
        <v>69.845437663354332</v>
      </c>
      <c r="AQ5" s="19">
        <v>70.673373723904319</v>
      </c>
      <c r="AR5" s="19">
        <v>71.501309784454321</v>
      </c>
      <c r="AS5" s="19">
        <v>72.329245845004337</v>
      </c>
      <c r="AT5" s="19">
        <v>73.157181905554324</v>
      </c>
      <c r="AU5" s="19">
        <v>73.985117966104326</v>
      </c>
      <c r="AV5" s="19">
        <v>74.672582850154328</v>
      </c>
      <c r="AW5" s="19">
        <v>75.360047734204329</v>
      </c>
      <c r="AX5" s="19">
        <v>76.047512618254331</v>
      </c>
      <c r="AY5" s="19">
        <v>76.734977502304332</v>
      </c>
      <c r="AZ5" s="19">
        <v>77.422442386354319</v>
      </c>
      <c r="BA5" s="19">
        <v>78.109907270404321</v>
      </c>
      <c r="BB5" s="19">
        <v>78.797372154454322</v>
      </c>
      <c r="BC5" s="19">
        <v>79.484837038504324</v>
      </c>
      <c r="BD5" s="19">
        <v>80.172301922554325</v>
      </c>
      <c r="BE5" s="19">
        <v>80.859766806604327</v>
      </c>
      <c r="BF5" s="19">
        <v>81.276087406104324</v>
      </c>
      <c r="BG5" s="19">
        <v>81.692408005604335</v>
      </c>
      <c r="BH5" s="19">
        <v>82.108728605104332</v>
      </c>
      <c r="BI5" s="19">
        <v>82.525049204604343</v>
      </c>
      <c r="BJ5" s="19">
        <v>82.941369804104326</v>
      </c>
      <c r="BK5" s="19">
        <v>83.357690403604323</v>
      </c>
      <c r="BL5" s="19">
        <v>83.774011003104334</v>
      </c>
      <c r="BM5" s="19">
        <v>84.190331602604331</v>
      </c>
      <c r="BN5" s="19">
        <v>84.606652202104328</v>
      </c>
      <c r="BO5" s="19">
        <v>85.02297280160434</v>
      </c>
      <c r="BP5" s="19">
        <v>85.319810819604328</v>
      </c>
      <c r="BQ5" s="19">
        <v>85.616648837604345</v>
      </c>
      <c r="BR5" s="19">
        <v>85.913486855604333</v>
      </c>
      <c r="BS5" s="19">
        <v>86.210324873604335</v>
      </c>
      <c r="BT5" s="19">
        <v>86.507162891604324</v>
      </c>
      <c r="BU5" s="19">
        <v>86.804000909604341</v>
      </c>
      <c r="BV5" s="19">
        <v>87.100838927604329</v>
      </c>
      <c r="BW5" s="19">
        <v>87.397676945604331</v>
      </c>
      <c r="BX5" s="19">
        <v>87.694514963604334</v>
      </c>
      <c r="BY5" s="19">
        <v>87.991352981604336</v>
      </c>
      <c r="BZ5" s="19">
        <v>87.957144528104322</v>
      </c>
      <c r="CA5" s="19">
        <v>87.922936074604323</v>
      </c>
      <c r="CB5" s="19">
        <v>87.888727621104337</v>
      </c>
      <c r="CC5" s="19">
        <v>87.854519167604337</v>
      </c>
      <c r="CD5" s="19">
        <v>87.820310714104323</v>
      </c>
      <c r="CE5" s="19">
        <v>87.786102260604324</v>
      </c>
      <c r="CF5" s="19">
        <v>87.751893807104324</v>
      </c>
      <c r="CG5" s="19">
        <v>87.717685353604338</v>
      </c>
      <c r="CH5" s="19">
        <v>87.683476900104338</v>
      </c>
      <c r="CI5" s="19">
        <v>87.649268446604324</v>
      </c>
      <c r="CJ5" s="19">
        <v>87.150155667104315</v>
      </c>
      <c r="CK5" s="19">
        <v>86.651042887604333</v>
      </c>
      <c r="CL5" s="19">
        <v>86.151930108104324</v>
      </c>
      <c r="CM5" s="19">
        <v>85.652817328604328</v>
      </c>
      <c r="CN5" s="19">
        <v>85.153704549104319</v>
      </c>
      <c r="CO5" s="19">
        <v>84.654591769604323</v>
      </c>
      <c r="CP5" s="19">
        <v>84.155478990104328</v>
      </c>
      <c r="CQ5" s="19">
        <v>83.656366210604318</v>
      </c>
      <c r="CR5" s="19">
        <v>83.157253431104323</v>
      </c>
      <c r="CS5" s="19">
        <v>82.658140651604327</v>
      </c>
    </row>
    <row r="6" spans="1:97">
      <c r="A6" s="20" t="s">
        <v>17</v>
      </c>
      <c r="B6" s="18" t="s">
        <v>15</v>
      </c>
      <c r="C6" s="19">
        <f t="shared" si="1"/>
        <v>735.48259363180489</v>
      </c>
      <c r="D6" s="19">
        <f t="shared" si="2"/>
        <v>1032.9832570099179</v>
      </c>
      <c r="E6" s="19">
        <f t="shared" si="0"/>
        <v>6549.9053559893837</v>
      </c>
      <c r="G6" s="19">
        <v>47.3214619756288</v>
      </c>
      <c r="H6" s="19">
        <v>48.294555746469825</v>
      </c>
      <c r="I6" s="19">
        <v>48.507174029591511</v>
      </c>
      <c r="J6" s="19">
        <v>49.063436562155992</v>
      </c>
      <c r="K6" s="19">
        <v>49.617423071004978</v>
      </c>
      <c r="L6" s="19">
        <v>50.144277082955064</v>
      </c>
      <c r="M6" s="19">
        <v>50.763653973177227</v>
      </c>
      <c r="N6" s="19">
        <v>51.390991894920269</v>
      </c>
      <c r="O6" s="19">
        <v>52.024743493854615</v>
      </c>
      <c r="P6" s="19">
        <v>52.655361222975102</v>
      </c>
      <c r="Q6" s="19">
        <v>53.278416737333728</v>
      </c>
      <c r="R6" s="19">
        <v>54.054853040186885</v>
      </c>
      <c r="S6" s="19">
        <v>54.818851918029843</v>
      </c>
      <c r="T6" s="19">
        <v>55.599696246081763</v>
      </c>
      <c r="U6" s="19">
        <v>56.388183172267361</v>
      </c>
      <c r="V6" s="19">
        <v>57.175531187270572</v>
      </c>
      <c r="W6" s="19">
        <v>57.943180184925886</v>
      </c>
      <c r="X6" s="19">
        <v>58.717751721207676</v>
      </c>
      <c r="Y6" s="19">
        <v>59.496075612635188</v>
      </c>
      <c r="Z6" s="19">
        <v>60.277240002802316</v>
      </c>
      <c r="AA6" s="19">
        <v>61.066415856541923</v>
      </c>
      <c r="AB6" s="19">
        <v>62.118240873501748</v>
      </c>
      <c r="AC6" s="19">
        <v>62.927257697825056</v>
      </c>
      <c r="AD6" s="19">
        <v>63.84215188146667</v>
      </c>
      <c r="AE6" s="19">
        <v>64.688524617298569</v>
      </c>
      <c r="AF6" s="19">
        <v>65.62905574008461</v>
      </c>
      <c r="AG6" s="19">
        <v>66.308123441935152</v>
      </c>
      <c r="AH6" s="19">
        <v>67.053791843697496</v>
      </c>
      <c r="AI6" s="19">
        <v>67.765388943611924</v>
      </c>
      <c r="AJ6" s="19">
        <v>68.47900270805664</v>
      </c>
      <c r="AK6" s="19">
        <v>69.165180237265034</v>
      </c>
      <c r="AL6" s="19">
        <v>69.795916918860399</v>
      </c>
      <c r="AM6" s="19">
        <v>70.592221287223765</v>
      </c>
      <c r="AN6" s="19">
        <v>71.338659316559273</v>
      </c>
      <c r="AO6" s="19">
        <v>72.211204148788667</v>
      </c>
      <c r="AP6" s="19">
        <v>73.032046809832892</v>
      </c>
      <c r="AQ6" s="19">
        <v>73.72837444254138</v>
      </c>
      <c r="AR6" s="19">
        <v>74.434384789636425</v>
      </c>
      <c r="AS6" s="19">
        <v>74.875125321437878</v>
      </c>
      <c r="AT6" s="19">
        <v>75.467977720127863</v>
      </c>
      <c r="AU6" s="19">
        <v>76.240608489742229</v>
      </c>
      <c r="AV6" s="19">
        <v>76.728967899863093</v>
      </c>
      <c r="AW6" s="19">
        <v>77.013015654568292</v>
      </c>
      <c r="AX6" s="19">
        <v>77.336652532210891</v>
      </c>
      <c r="AY6" s="19">
        <v>77.845191474281023</v>
      </c>
      <c r="AZ6" s="19">
        <v>78.579465155983499</v>
      </c>
      <c r="BA6" s="19">
        <v>79.123097856252684</v>
      </c>
      <c r="BB6" s="19">
        <v>79.685069405713975</v>
      </c>
      <c r="BC6" s="19">
        <v>79.996684603560738</v>
      </c>
      <c r="BD6" s="19">
        <v>80.21297221278688</v>
      </c>
      <c r="BE6" s="19">
        <v>80.27631181408124</v>
      </c>
      <c r="BF6" s="19">
        <v>80.431888677519837</v>
      </c>
      <c r="BG6" s="19">
        <v>80.820224495168844</v>
      </c>
      <c r="BH6" s="19">
        <v>81.162530836733779</v>
      </c>
      <c r="BI6" s="19">
        <v>81.462777718575666</v>
      </c>
      <c r="BJ6" s="19">
        <v>81.794773274331689</v>
      </c>
      <c r="BK6" s="19">
        <v>82.21771025160767</v>
      </c>
      <c r="BL6" s="19">
        <v>82.654995334245214</v>
      </c>
      <c r="BM6" s="19">
        <v>82.924792829976468</v>
      </c>
      <c r="BN6" s="19">
        <v>82.97057856114354</v>
      </c>
      <c r="BO6" s="19">
        <v>83.100814752151152</v>
      </c>
      <c r="BP6" s="19">
        <v>83.28935078397015</v>
      </c>
      <c r="BQ6" s="19">
        <v>83.477888356843465</v>
      </c>
      <c r="BR6" s="19">
        <v>83.633741448449427</v>
      </c>
      <c r="BS6" s="19">
        <v>83.778090445150085</v>
      </c>
      <c r="BT6" s="19">
        <v>84.089756246828784</v>
      </c>
      <c r="BU6" s="19">
        <v>84.487374334971278</v>
      </c>
      <c r="BV6" s="19">
        <v>84.670358424565421</v>
      </c>
      <c r="BW6" s="19">
        <v>84.789705749333109</v>
      </c>
      <c r="BX6" s="19">
        <v>84.759270538536683</v>
      </c>
      <c r="BY6" s="19">
        <v>84.870739710557586</v>
      </c>
      <c r="BZ6" s="19">
        <v>84.831111390923922</v>
      </c>
      <c r="CA6" s="19">
        <v>84.743668234091729</v>
      </c>
      <c r="CB6" s="19">
        <v>84.603179032718586</v>
      </c>
      <c r="CC6" s="19">
        <v>84.409259335669645</v>
      </c>
      <c r="CD6" s="19">
        <v>84.322879157384705</v>
      </c>
      <c r="CE6" s="19">
        <v>84.302749781257504</v>
      </c>
      <c r="CF6" s="19">
        <v>83.81460650282375</v>
      </c>
      <c r="CG6" s="19">
        <v>83.720351202697543</v>
      </c>
      <c r="CH6" s="19">
        <v>83.541499114553687</v>
      </c>
      <c r="CI6" s="19">
        <v>83.383096402182915</v>
      </c>
      <c r="CJ6" s="19">
        <v>83.369881584081256</v>
      </c>
      <c r="CK6" s="19">
        <v>83.434022058464009</v>
      </c>
      <c r="CL6" s="19">
        <v>83.450732567390915</v>
      </c>
      <c r="CM6" s="19">
        <v>83.47617976741472</v>
      </c>
      <c r="CN6" s="19">
        <v>83.36615736193005</v>
      </c>
      <c r="CO6" s="19">
        <v>83.387253119954522</v>
      </c>
      <c r="CP6" s="19">
        <v>83.68455094762092</v>
      </c>
      <c r="CQ6" s="19">
        <v>83.955483146379109</v>
      </c>
      <c r="CR6" s="19">
        <v>84.463704482998878</v>
      </c>
      <c r="CS6" s="19">
        <v>84.783705179470857</v>
      </c>
    </row>
    <row r="7" spans="1:97" ht="15.75">
      <c r="A7" s="17"/>
      <c r="B7" s="18" t="s">
        <v>16</v>
      </c>
      <c r="C7" s="19">
        <f t="shared" si="1"/>
        <v>719.68276331947095</v>
      </c>
      <c r="D7" s="19">
        <f t="shared" si="2"/>
        <v>1003.1418273786279</v>
      </c>
      <c r="E7" s="19">
        <f t="shared" si="0"/>
        <v>5432.4974862463214</v>
      </c>
      <c r="G7" s="19">
        <v>47.3214619756288</v>
      </c>
      <c r="H7" s="19">
        <v>48.277041569295491</v>
      </c>
      <c r="I7" s="19">
        <v>48.432671820196852</v>
      </c>
      <c r="J7" s="19">
        <v>48.836311388534213</v>
      </c>
      <c r="K7" s="19">
        <v>49.240155751544265</v>
      </c>
      <c r="L7" s="19">
        <v>49.61686761765543</v>
      </c>
      <c r="M7" s="19">
        <v>50.081397137993953</v>
      </c>
      <c r="N7" s="19">
        <v>50.553887689853362</v>
      </c>
      <c r="O7" s="19">
        <v>51.029143680733718</v>
      </c>
      <c r="P7" s="19">
        <v>51.501265801800223</v>
      </c>
      <c r="Q7" s="19">
        <v>51.965825708104859</v>
      </c>
      <c r="R7" s="19">
        <v>52.539000431315479</v>
      </c>
      <c r="S7" s="19">
        <v>53.099737729515901</v>
      </c>
      <c r="T7" s="19">
        <v>53.677320477925285</v>
      </c>
      <c r="U7" s="19">
        <v>54.262545824468361</v>
      </c>
      <c r="V7" s="19">
        <v>54.846632259829036</v>
      </c>
      <c r="W7" s="19">
        <v>55.454474278701127</v>
      </c>
      <c r="X7" s="19">
        <v>56.069238836199702</v>
      </c>
      <c r="Y7" s="19">
        <v>56.687755748843998</v>
      </c>
      <c r="Z7" s="19">
        <v>57.309113160227916</v>
      </c>
      <c r="AA7" s="19">
        <v>57.938482035184279</v>
      </c>
      <c r="AB7" s="19">
        <v>58.568158992083596</v>
      </c>
      <c r="AC7" s="19">
        <v>58.907561209454038</v>
      </c>
      <c r="AD7" s="19">
        <v>59.089130150268339</v>
      </c>
      <c r="AE7" s="19">
        <v>59.766298813172199</v>
      </c>
      <c r="AF7" s="19">
        <v>60.147596604860219</v>
      </c>
      <c r="AG7" s="19">
        <v>60.560438027550518</v>
      </c>
      <c r="AH7" s="19">
        <v>61.069147879530789</v>
      </c>
      <c r="AI7" s="19">
        <v>61.412784198627989</v>
      </c>
      <c r="AJ7" s="19">
        <v>62.085085753260046</v>
      </c>
      <c r="AK7" s="19">
        <v>62.492000830914428</v>
      </c>
      <c r="AL7" s="19">
        <v>62.930671655851633</v>
      </c>
      <c r="AM7" s="19">
        <v>63.293586554299289</v>
      </c>
      <c r="AN7" s="19">
        <v>63.857916313163258</v>
      </c>
      <c r="AO7" s="19">
        <v>64.140905736843052</v>
      </c>
      <c r="AP7" s="19">
        <v>64.449174690594845</v>
      </c>
      <c r="AQ7" s="19">
        <v>64.784938308783239</v>
      </c>
      <c r="AR7" s="19">
        <v>65.015582087300871</v>
      </c>
      <c r="AS7" s="19">
        <v>65.195869269683683</v>
      </c>
      <c r="AT7" s="19">
        <v>65.404910361254053</v>
      </c>
      <c r="AU7" s="19">
        <v>65.394542333926168</v>
      </c>
      <c r="AV7" s="19">
        <v>65.302151086813154</v>
      </c>
      <c r="AW7" s="19">
        <v>65.049750566927216</v>
      </c>
      <c r="AX7" s="19">
        <v>65.104347537854153</v>
      </c>
      <c r="AY7" s="19">
        <v>65.130553330853132</v>
      </c>
      <c r="AZ7" s="19">
        <v>65.169484564751826</v>
      </c>
      <c r="BA7" s="19">
        <v>65.310320017269973</v>
      </c>
      <c r="BB7" s="19">
        <v>65.439861938121624</v>
      </c>
      <c r="BC7" s="19">
        <v>65.737022989814704</v>
      </c>
      <c r="BD7" s="19">
        <v>65.743703292406281</v>
      </c>
      <c r="BE7" s="19">
        <v>65.8264959664034</v>
      </c>
      <c r="BF7" s="19">
        <v>65.832536784675057</v>
      </c>
      <c r="BG7" s="19">
        <v>65.721518367443906</v>
      </c>
      <c r="BH7" s="19">
        <v>65.778606437160235</v>
      </c>
      <c r="BI7" s="19">
        <v>65.834121774871846</v>
      </c>
      <c r="BJ7" s="19">
        <v>65.484567765011249</v>
      </c>
      <c r="BK7" s="19">
        <v>65.574834799367395</v>
      </c>
      <c r="BL7" s="19">
        <v>65.523548550820024</v>
      </c>
      <c r="BM7" s="19">
        <v>65.669333384162016</v>
      </c>
      <c r="BN7" s="19">
        <v>65.703590780726188</v>
      </c>
      <c r="BO7" s="19">
        <v>65.681978132042531</v>
      </c>
      <c r="BP7" s="19">
        <v>65.639424950397412</v>
      </c>
      <c r="BQ7" s="19">
        <v>65.606325870396162</v>
      </c>
      <c r="BR7" s="19">
        <v>65.46029678520712</v>
      </c>
      <c r="BS7" s="19">
        <v>65.183282032196786</v>
      </c>
      <c r="BT7" s="19">
        <v>64.860432108163508</v>
      </c>
      <c r="BU7" s="19">
        <v>64.544965308884798</v>
      </c>
      <c r="BV7" s="19">
        <v>64.224099134930697</v>
      </c>
      <c r="BW7" s="19">
        <v>63.936573301966646</v>
      </c>
      <c r="BX7" s="19">
        <v>63.613172365935078</v>
      </c>
      <c r="BY7" s="19">
        <v>63.27032058912814</v>
      </c>
      <c r="BZ7" s="19">
        <v>62.935507053185766</v>
      </c>
      <c r="CA7" s="19">
        <v>62.556071524854353</v>
      </c>
      <c r="CB7" s="19">
        <v>62.284822311508464</v>
      </c>
      <c r="CC7" s="19">
        <v>61.852448284485199</v>
      </c>
      <c r="CD7" s="19">
        <v>61.488779259030039</v>
      </c>
      <c r="CE7" s="19">
        <v>61.441470029824231</v>
      </c>
      <c r="CF7" s="19">
        <v>61.243413396870423</v>
      </c>
      <c r="CG7" s="19">
        <v>61.182515174614672</v>
      </c>
      <c r="CH7" s="19">
        <v>61.227336962211631</v>
      </c>
      <c r="CI7" s="19">
        <v>61.07328847192305</v>
      </c>
      <c r="CJ7" s="19">
        <v>61.061119054460384</v>
      </c>
      <c r="CK7" s="19">
        <v>61.034152534813323</v>
      </c>
      <c r="CL7" s="19">
        <v>61.557389284469785</v>
      </c>
      <c r="CM7" s="19">
        <v>61.359249040112431</v>
      </c>
      <c r="CN7" s="19">
        <v>61.009969779787973</v>
      </c>
      <c r="CO7" s="19">
        <v>60.791866982925434</v>
      </c>
      <c r="CP7" s="19">
        <v>60.570286920862671</v>
      </c>
      <c r="CQ7" s="19">
        <v>60.111825255464012</v>
      </c>
      <c r="CR7" s="19">
        <v>59.703197941921928</v>
      </c>
      <c r="CS7" s="19">
        <v>59.34742931824541</v>
      </c>
    </row>
    <row r="8" spans="1:97">
      <c r="A8" s="20" t="s">
        <v>18</v>
      </c>
      <c r="B8" s="18" t="s">
        <v>15</v>
      </c>
      <c r="C8" s="19">
        <f t="shared" si="1"/>
        <v>713.07834223660007</v>
      </c>
      <c r="D8" s="19">
        <f t="shared" si="2"/>
        <v>979.75090607117352</v>
      </c>
      <c r="E8" s="19">
        <f>SUM(I8:CS8)</f>
        <v>4153.8843335198144</v>
      </c>
      <c r="F8" s="2"/>
      <c r="G8" s="19">
        <v>47.285396291984249</v>
      </c>
      <c r="H8" s="19">
        <v>48.170409687113853</v>
      </c>
      <c r="I8" s="19">
        <v>48.388280405034259</v>
      </c>
      <c r="J8" s="19">
        <v>48.856005717495556</v>
      </c>
      <c r="K8" s="19">
        <v>49.285960441892854</v>
      </c>
      <c r="L8" s="19">
        <v>49.688818079154203</v>
      </c>
      <c r="M8" s="19">
        <v>50.176098205219134</v>
      </c>
      <c r="N8" s="19">
        <v>50.670676429731301</v>
      </c>
      <c r="O8" s="19">
        <v>51.173426530572492</v>
      </c>
      <c r="P8" s="19">
        <v>51.670200957108221</v>
      </c>
      <c r="Q8" s="19">
        <v>52.148472368328434</v>
      </c>
      <c r="R8" s="19">
        <v>51.791564066844693</v>
      </c>
      <c r="S8" s="19">
        <v>51.989694616847288</v>
      </c>
      <c r="T8" s="19">
        <v>52.203143626290569</v>
      </c>
      <c r="U8" s="19">
        <v>52.418421921023835</v>
      </c>
      <c r="V8" s="19">
        <v>52.617578871057205</v>
      </c>
      <c r="W8" s="19">
        <v>52.85084875259016</v>
      </c>
      <c r="X8" s="19">
        <v>53.090067245157655</v>
      </c>
      <c r="Y8" s="19">
        <v>53.332178417823208</v>
      </c>
      <c r="Z8" s="19">
        <v>53.576103489125479</v>
      </c>
      <c r="AA8" s="19">
        <v>53.82336592987685</v>
      </c>
      <c r="AB8" s="19">
        <v>52.914885739342338</v>
      </c>
      <c r="AC8" s="19">
        <v>53.03484244657114</v>
      </c>
      <c r="AD8" s="19">
        <v>52.984619455994206</v>
      </c>
      <c r="AE8" s="19">
        <v>52.843425268485888</v>
      </c>
      <c r="AF8" s="19">
        <v>52.577744957200238</v>
      </c>
      <c r="AG8" s="19">
        <v>52.270498274271176</v>
      </c>
      <c r="AH8" s="19">
        <v>51.972607409727189</v>
      </c>
      <c r="AI8" s="19">
        <v>51.830436192977075</v>
      </c>
      <c r="AJ8" s="19">
        <v>51.710356685668536</v>
      </c>
      <c r="AK8" s="19">
        <v>51.511252125403182</v>
      </c>
      <c r="AL8" s="19">
        <v>51.225127845028027</v>
      </c>
      <c r="AM8" s="19">
        <v>50.757505653130821</v>
      </c>
      <c r="AN8" s="19">
        <v>50.712608917245547</v>
      </c>
      <c r="AO8" s="19">
        <v>50.681445183319759</v>
      </c>
      <c r="AP8" s="19">
        <v>50.152238349111293</v>
      </c>
      <c r="AQ8" s="19">
        <v>49.627168289562803</v>
      </c>
      <c r="AR8" s="19">
        <v>49.324471726360748</v>
      </c>
      <c r="AS8" s="19">
        <v>48.962067725419175</v>
      </c>
      <c r="AT8" s="19">
        <v>48.568820167953376</v>
      </c>
      <c r="AU8" s="19">
        <v>48.383555809730815</v>
      </c>
      <c r="AV8" s="19">
        <v>47.359727572992348</v>
      </c>
      <c r="AW8" s="19">
        <v>47.297497794813928</v>
      </c>
      <c r="AX8" s="19">
        <v>47.510959333612625</v>
      </c>
      <c r="AY8" s="19">
        <v>47.424775529410645</v>
      </c>
      <c r="AZ8" s="19">
        <v>47.35308675195531</v>
      </c>
      <c r="BA8" s="19">
        <v>47.38878238896249</v>
      </c>
      <c r="BB8" s="19">
        <v>47.353359336516462</v>
      </c>
      <c r="BC8" s="19">
        <v>47.213256612187671</v>
      </c>
      <c r="BD8" s="19">
        <v>46.965092992050593</v>
      </c>
      <c r="BE8" s="19">
        <v>46.742541983352965</v>
      </c>
      <c r="BF8" s="19">
        <v>46.586433642416573</v>
      </c>
      <c r="BG8" s="19">
        <v>46.364271952963193</v>
      </c>
      <c r="BH8" s="19">
        <v>46.176207566064612</v>
      </c>
      <c r="BI8" s="19">
        <v>45.672796346991149</v>
      </c>
      <c r="BJ8" s="19">
        <v>45.078284762201285</v>
      </c>
      <c r="BK8" s="19">
        <v>44.45344858924561</v>
      </c>
      <c r="BL8" s="19">
        <v>44.902521033291052</v>
      </c>
      <c r="BM8" s="19">
        <v>44.811574084511307</v>
      </c>
      <c r="BN8" s="19">
        <v>44.602220317437549</v>
      </c>
      <c r="BO8" s="19">
        <v>44.440774230567435</v>
      </c>
      <c r="BP8" s="19">
        <v>44.113599155998571</v>
      </c>
      <c r="BQ8" s="19">
        <v>43.798891419368054</v>
      </c>
      <c r="BR8" s="19">
        <v>43.442319710203435</v>
      </c>
      <c r="BS8" s="19">
        <v>43.070385776143517</v>
      </c>
      <c r="BT8" s="19">
        <v>42.518345272921692</v>
      </c>
      <c r="BU8" s="19">
        <v>42.510276155699671</v>
      </c>
      <c r="BV8" s="19">
        <v>42.669004442745411</v>
      </c>
      <c r="BW8" s="19">
        <v>42.573878701634406</v>
      </c>
      <c r="BX8" s="19">
        <v>42.391010771674019</v>
      </c>
      <c r="BY8" s="19">
        <v>42.173582112102537</v>
      </c>
      <c r="BZ8" s="19">
        <v>42.088104877011567</v>
      </c>
      <c r="CA8" s="19">
        <v>42.052682135010308</v>
      </c>
      <c r="CB8" s="19">
        <v>41.502908750011713</v>
      </c>
      <c r="CC8" s="19">
        <v>41.256966502769387</v>
      </c>
      <c r="CD8" s="19">
        <v>40.800393142742365</v>
      </c>
      <c r="CE8" s="19">
        <v>40.44908495520724</v>
      </c>
      <c r="CF8" s="19">
        <v>40.182555890769812</v>
      </c>
      <c r="CG8" s="19">
        <v>40.169746445350512</v>
      </c>
      <c r="CH8" s="19">
        <v>40.059824679335883</v>
      </c>
      <c r="CI8" s="19">
        <v>39.895943556818906</v>
      </c>
      <c r="CJ8" s="19">
        <v>39.640547839705619</v>
      </c>
      <c r="CK8" s="19">
        <v>39.461747420420799</v>
      </c>
      <c r="CL8" s="19">
        <v>39.247677567661732</v>
      </c>
      <c r="CM8" s="19">
        <v>39.308233755358948</v>
      </c>
      <c r="CN8" s="19">
        <v>39.215603717427648</v>
      </c>
      <c r="CO8" s="19">
        <v>39.057610638417138</v>
      </c>
      <c r="CP8" s="19">
        <v>38.856599152822554</v>
      </c>
      <c r="CQ8" s="19">
        <v>38.431961973800902</v>
      </c>
      <c r="CR8" s="19">
        <v>37.887073767090492</v>
      </c>
      <c r="CS8" s="19">
        <v>37.563576118368758</v>
      </c>
    </row>
    <row r="9" spans="1:97" ht="15.75">
      <c r="A9" s="17"/>
      <c r="B9" s="18" t="s">
        <v>16</v>
      </c>
      <c r="C9" s="19">
        <f t="shared" si="1"/>
        <v>708.39744418919736</v>
      </c>
      <c r="D9" s="19">
        <f t="shared" si="2"/>
        <v>974.30024106262147</v>
      </c>
      <c r="E9" s="19">
        <f t="shared" ref="E9:E15" si="3">SUM(I9:CS9)</f>
        <v>3782.328120452175</v>
      </c>
      <c r="G9" s="19">
        <v>47.285396291984249</v>
      </c>
      <c r="H9" s="19">
        <v>48.139017248528972</v>
      </c>
      <c r="I9" s="19">
        <v>48.325471133742127</v>
      </c>
      <c r="J9" s="19">
        <v>48.7084017254627</v>
      </c>
      <c r="K9" s="19">
        <v>49.055896493291463</v>
      </c>
      <c r="L9" s="19">
        <v>49.376269924527492</v>
      </c>
      <c r="M9" s="19">
        <v>49.770318918614166</v>
      </c>
      <c r="N9" s="19">
        <v>50.156635805461029</v>
      </c>
      <c r="O9" s="19">
        <v>50.551098829401937</v>
      </c>
      <c r="P9" s="19">
        <v>50.94326076788898</v>
      </c>
      <c r="Q9" s="19">
        <v>51.326757105033451</v>
      </c>
      <c r="R9" s="19">
        <v>51.49756468323644</v>
      </c>
      <c r="S9" s="19">
        <v>51.75604483082661</v>
      </c>
      <c r="T9" s="19">
        <v>52.029599833734942</v>
      </c>
      <c r="U9" s="19">
        <v>52.310134268833366</v>
      </c>
      <c r="V9" s="19">
        <v>52.589989869142713</v>
      </c>
      <c r="W9" s="19">
        <v>52.790899706464167</v>
      </c>
      <c r="X9" s="19">
        <v>52.989220141742379</v>
      </c>
      <c r="Y9" s="19">
        <v>53.18015900573107</v>
      </c>
      <c r="Z9" s="19">
        <v>53.373062461514472</v>
      </c>
      <c r="AA9" s="19">
        <v>53.569455557972006</v>
      </c>
      <c r="AB9" s="19">
        <v>52.941779872971367</v>
      </c>
      <c r="AC9" s="19">
        <v>52.74804033857621</v>
      </c>
      <c r="AD9" s="19">
        <v>52.601877086190157</v>
      </c>
      <c r="AE9" s="19">
        <v>52.238728414955503</v>
      </c>
      <c r="AF9" s="19">
        <v>51.857434507917382</v>
      </c>
      <c r="AG9" s="19">
        <v>51.378129839497362</v>
      </c>
      <c r="AH9" s="19">
        <v>50.900805931300361</v>
      </c>
      <c r="AI9" s="19">
        <v>50.4023881786377</v>
      </c>
      <c r="AJ9" s="19">
        <v>49.951439682182695</v>
      </c>
      <c r="AK9" s="19">
        <v>49.555958701256905</v>
      </c>
      <c r="AL9" s="19">
        <v>49.18611056698488</v>
      </c>
      <c r="AM9" s="19">
        <v>48.830330712695421</v>
      </c>
      <c r="AN9" s="19">
        <v>48.292703602630844</v>
      </c>
      <c r="AO9" s="19">
        <v>47.623486753034548</v>
      </c>
      <c r="AP9" s="19">
        <v>47.266752549097859</v>
      </c>
      <c r="AQ9" s="19">
        <v>46.688917952453231</v>
      </c>
      <c r="AR9" s="19">
        <v>46.162552189263074</v>
      </c>
      <c r="AS9" s="19">
        <v>45.72741119162108</v>
      </c>
      <c r="AT9" s="19">
        <v>45.224954077012853</v>
      </c>
      <c r="AU9" s="19">
        <v>44.543472608966468</v>
      </c>
      <c r="AV9" s="19">
        <v>43.387328314410567</v>
      </c>
      <c r="AW9" s="19">
        <v>43.207740416738837</v>
      </c>
      <c r="AX9" s="19">
        <v>42.892972537269131</v>
      </c>
      <c r="AY9" s="19">
        <v>42.223535776502239</v>
      </c>
      <c r="AZ9" s="19">
        <v>41.51845775916464</v>
      </c>
      <c r="BA9" s="19">
        <v>40.928544976939051</v>
      </c>
      <c r="BB9" s="19">
        <v>40.467906200274413</v>
      </c>
      <c r="BC9" s="19">
        <v>40.006537129387667</v>
      </c>
      <c r="BD9" s="19">
        <v>39.40842791390773</v>
      </c>
      <c r="BE9" s="19">
        <v>39.077370544189151</v>
      </c>
      <c r="BF9" s="19">
        <v>38.727736016200538</v>
      </c>
      <c r="BG9" s="19">
        <v>38.74760516281205</v>
      </c>
      <c r="BH9" s="19">
        <v>38.450732047261361</v>
      </c>
      <c r="BI9" s="19">
        <v>38.055376569945842</v>
      </c>
      <c r="BJ9" s="19">
        <v>37.800456422478433</v>
      </c>
      <c r="BK9" s="19">
        <v>37.593576343899279</v>
      </c>
      <c r="BL9" s="19">
        <v>37.855014160895102</v>
      </c>
      <c r="BM9" s="19">
        <v>37.69211732438567</v>
      </c>
      <c r="BN9" s="19">
        <v>37.519815991021098</v>
      </c>
      <c r="BO9" s="19">
        <v>37.370325000926734</v>
      </c>
      <c r="BP9" s="19">
        <v>37.265682309576256</v>
      </c>
      <c r="BQ9" s="19">
        <v>37.198901900374189</v>
      </c>
      <c r="BR9" s="19">
        <v>37.233021130054219</v>
      </c>
      <c r="BS9" s="19">
        <v>37.163291692177737</v>
      </c>
      <c r="BT9" s="19">
        <v>36.836444353862355</v>
      </c>
      <c r="BU9" s="19">
        <v>36.633639536290012</v>
      </c>
      <c r="BV9" s="19">
        <v>36.525923637268761</v>
      </c>
      <c r="BW9" s="19">
        <v>35.484495573631456</v>
      </c>
      <c r="BX9" s="19">
        <v>35.275315946429295</v>
      </c>
      <c r="BY9" s="19">
        <v>35.08540451229721</v>
      </c>
      <c r="BZ9" s="19">
        <v>34.84212090129941</v>
      </c>
      <c r="CA9" s="19">
        <v>34.609702812546409</v>
      </c>
      <c r="CB9" s="19">
        <v>34.337452077545635</v>
      </c>
      <c r="CC9" s="19">
        <v>34.216954381408357</v>
      </c>
      <c r="CD9" s="19">
        <v>33.998596379891794</v>
      </c>
      <c r="CE9" s="19">
        <v>33.729460216118511</v>
      </c>
      <c r="CF9" s="19">
        <v>33.801616765158023</v>
      </c>
      <c r="CG9" s="19">
        <v>33.604621893148718</v>
      </c>
      <c r="CH9" s="19">
        <v>33.502151604893463</v>
      </c>
      <c r="CI9" s="19">
        <v>33.41537105308926</v>
      </c>
      <c r="CJ9" s="19">
        <v>33.228339185521847</v>
      </c>
      <c r="CK9" s="19">
        <v>33.052368549362981</v>
      </c>
      <c r="CL9" s="19">
        <v>32.831115014409527</v>
      </c>
      <c r="CM9" s="19">
        <v>32.644061753902037</v>
      </c>
      <c r="CN9" s="19">
        <v>32.897421693838922</v>
      </c>
      <c r="CO9" s="19">
        <v>32.865529815602343</v>
      </c>
      <c r="CP9" s="19">
        <v>32.730497367003601</v>
      </c>
      <c r="CQ9" s="19">
        <v>32.290754049499249</v>
      </c>
      <c r="CR9" s="19">
        <v>32.00002653868944</v>
      </c>
      <c r="CS9" s="19">
        <v>31.672745378808134</v>
      </c>
    </row>
    <row r="10" spans="1:97" ht="15.75">
      <c r="A10" s="17" t="s">
        <v>19</v>
      </c>
      <c r="B10" s="18" t="s">
        <v>15</v>
      </c>
      <c r="C10" s="19">
        <f t="shared" si="1"/>
        <v>568.55940234806371</v>
      </c>
      <c r="D10" s="19">
        <f t="shared" si="2"/>
        <v>722.2446782539605</v>
      </c>
      <c r="E10" s="19">
        <f t="shared" si="3"/>
        <v>1373.6270606902794</v>
      </c>
      <c r="G10" s="19">
        <v>46.686599100000002</v>
      </c>
      <c r="H10" s="19">
        <v>46.039706546285665</v>
      </c>
      <c r="I10" s="19">
        <v>45.39281399257132</v>
      </c>
      <c r="J10" s="19">
        <v>44.745921438856982</v>
      </c>
      <c r="K10" s="19">
        <v>44.099028885142644</v>
      </c>
      <c r="L10" s="19">
        <v>43.452136331428306</v>
      </c>
      <c r="M10" s="19">
        <v>42.805243777713962</v>
      </c>
      <c r="N10" s="19">
        <v>42.158351223999624</v>
      </c>
      <c r="O10" s="19">
        <v>41.511458670285286</v>
      </c>
      <c r="P10" s="19">
        <v>40.864566116570941</v>
      </c>
      <c r="Q10" s="19">
        <v>40.217673562856604</v>
      </c>
      <c r="R10" s="19">
        <v>39.032596265146942</v>
      </c>
      <c r="S10" s="19">
        <v>37.847518967437281</v>
      </c>
      <c r="T10" s="19">
        <v>36.66244166972762</v>
      </c>
      <c r="U10" s="19">
        <v>35.477364372017959</v>
      </c>
      <c r="V10" s="19">
        <v>34.292287074308305</v>
      </c>
      <c r="W10" s="19">
        <v>33.107209776598644</v>
      </c>
      <c r="X10" s="19">
        <v>31.92213247888898</v>
      </c>
      <c r="Y10" s="19">
        <v>30.737055181179322</v>
      </c>
      <c r="Z10" s="19">
        <v>29.551977883469661</v>
      </c>
      <c r="AA10" s="19">
        <v>28.36690058576</v>
      </c>
      <c r="AB10" s="19">
        <v>27.639812368388</v>
      </c>
      <c r="AC10" s="19">
        <v>26.912724151016</v>
      </c>
      <c r="AD10" s="19">
        <v>26.185635933644001</v>
      </c>
      <c r="AE10" s="19">
        <v>25.458547716272001</v>
      </c>
      <c r="AF10" s="19">
        <v>24.731459498900001</v>
      </c>
      <c r="AG10" s="19">
        <v>24.004371281528002</v>
      </c>
      <c r="AH10" s="19">
        <v>23.277283064155998</v>
      </c>
      <c r="AI10" s="19">
        <v>22.550194846783999</v>
      </c>
      <c r="AJ10" s="19">
        <v>21.823106629411999</v>
      </c>
      <c r="AK10" s="19">
        <v>21.096018412039999</v>
      </c>
      <c r="AL10" s="19">
        <v>20.567763130025991</v>
      </c>
      <c r="AM10" s="19">
        <v>20.039507848011979</v>
      </c>
      <c r="AN10" s="19">
        <v>19.511252565997971</v>
      </c>
      <c r="AO10" s="19">
        <v>18.982997283983959</v>
      </c>
      <c r="AP10" s="19">
        <v>18.454742001969951</v>
      </c>
      <c r="AQ10" s="19">
        <v>17.926486719955939</v>
      </c>
      <c r="AR10" s="19">
        <v>17.398231437941931</v>
      </c>
      <c r="AS10" s="19">
        <v>16.869976155927922</v>
      </c>
      <c r="AT10" s="19">
        <v>16.341720873913911</v>
      </c>
      <c r="AU10" s="19">
        <v>15.813465591899901</v>
      </c>
      <c r="AV10" s="19">
        <v>15.297292972629911</v>
      </c>
      <c r="AW10" s="19">
        <v>14.78112035335992</v>
      </c>
      <c r="AX10" s="19">
        <v>14.26494773408993</v>
      </c>
      <c r="AY10" s="19">
        <v>13.74877511481994</v>
      </c>
      <c r="AZ10" s="19">
        <v>13.232602495549951</v>
      </c>
      <c r="BA10" s="19">
        <v>12.71642987627996</v>
      </c>
      <c r="BB10" s="19">
        <v>12.200257257009969</v>
      </c>
      <c r="BC10" s="19">
        <v>11.68408463773998</v>
      </c>
      <c r="BD10" s="19">
        <v>11.167912018469991</v>
      </c>
      <c r="BE10" s="19">
        <v>10.6517393992</v>
      </c>
      <c r="BF10" s="19">
        <v>10.04750677931</v>
      </c>
      <c r="BG10" s="19">
        <v>9.4432741594199996</v>
      </c>
      <c r="BH10" s="19">
        <v>8.8390415395299993</v>
      </c>
      <c r="BI10" s="19">
        <v>8.2348089196399989</v>
      </c>
      <c r="BJ10" s="19">
        <v>7.6305762997500004</v>
      </c>
      <c r="BK10" s="19">
        <v>7.0263436798600001</v>
      </c>
      <c r="BL10" s="19">
        <v>6.4221110599699998</v>
      </c>
      <c r="BM10" s="19">
        <v>5.8178784400799994</v>
      </c>
      <c r="BN10" s="19">
        <v>5.21364582019</v>
      </c>
      <c r="BO10" s="19">
        <v>4.6094132002999997</v>
      </c>
      <c r="BP10" s="19">
        <v>4.3398581631999997</v>
      </c>
      <c r="BQ10" s="19">
        <v>4.0703031260999998</v>
      </c>
      <c r="BR10" s="19">
        <v>3.8007480889999998</v>
      </c>
      <c r="BS10" s="19">
        <v>3.5311930518999999</v>
      </c>
      <c r="BT10" s="19">
        <v>3.2616380147999999</v>
      </c>
      <c r="BU10" s="19">
        <v>2.9920829777</v>
      </c>
      <c r="BV10" s="19">
        <v>2.7225279406</v>
      </c>
      <c r="BW10" s="19">
        <v>2.4529729035000001</v>
      </c>
      <c r="BX10" s="19">
        <v>2.1834178664000001</v>
      </c>
      <c r="BY10" s="19">
        <v>1.9138628293</v>
      </c>
      <c r="BZ10" s="19">
        <v>1.7026903915999998</v>
      </c>
      <c r="CA10" s="19">
        <v>1.4915179538999999</v>
      </c>
      <c r="CB10" s="19">
        <v>1.2803455161999997</v>
      </c>
      <c r="CC10" s="19">
        <v>1.0691730784999995</v>
      </c>
      <c r="CD10" s="19">
        <v>0.85800064079999938</v>
      </c>
      <c r="CE10" s="19">
        <v>0.64682820309999944</v>
      </c>
      <c r="CF10" s="19">
        <v>0.43565576539999928</v>
      </c>
      <c r="CG10" s="19">
        <v>0.22448332769999912</v>
      </c>
      <c r="CH10" s="19">
        <v>1.3310889999998965E-2</v>
      </c>
      <c r="CI10" s="19">
        <v>-0.197861547700001</v>
      </c>
      <c r="CJ10" s="19">
        <v>-0.45325810293000091</v>
      </c>
      <c r="CK10" s="19">
        <v>-0.70865465816000073</v>
      </c>
      <c r="CL10" s="19">
        <v>-0.96405121339000055</v>
      </c>
      <c r="CM10" s="19">
        <v>-1.2194477686200005</v>
      </c>
      <c r="CN10" s="19">
        <v>-1.4748443238500004</v>
      </c>
      <c r="CO10" s="19">
        <v>-1.7302408790800001</v>
      </c>
      <c r="CP10" s="19">
        <v>-1.9856374343100001</v>
      </c>
      <c r="CQ10" s="19">
        <v>-2.24103398954</v>
      </c>
      <c r="CR10" s="19">
        <v>-2.4964305447699999</v>
      </c>
      <c r="CS10" s="19">
        <v>-2.7518270999999999</v>
      </c>
    </row>
    <row r="11" spans="1:97" ht="15.75">
      <c r="A11" s="17"/>
      <c r="B11" s="18" t="s">
        <v>20</v>
      </c>
      <c r="C11" s="19">
        <f t="shared" si="1"/>
        <v>628.11296181592354</v>
      </c>
      <c r="D11" s="19">
        <f t="shared" si="2"/>
        <v>823.83368888492362</v>
      </c>
      <c r="E11" s="19">
        <f t="shared" si="3"/>
        <v>1948.7710671992095</v>
      </c>
      <c r="G11" s="19">
        <v>48.096179095742599</v>
      </c>
      <c r="H11" s="19">
        <v>47.762472557668339</v>
      </c>
      <c r="I11" s="19">
        <v>47.428766019594079</v>
      </c>
      <c r="J11" s="19">
        <v>47.095059481519819</v>
      </c>
      <c r="K11" s="19">
        <v>46.761352943445559</v>
      </c>
      <c r="L11" s="19">
        <v>46.427646405371298</v>
      </c>
      <c r="M11" s="19">
        <v>46.093939867297038</v>
      </c>
      <c r="N11" s="19">
        <v>45.760233329222778</v>
      </c>
      <c r="O11" s="19">
        <v>45.426526791148518</v>
      </c>
      <c r="P11" s="19">
        <v>45.092820253074258</v>
      </c>
      <c r="Q11" s="19">
        <v>44.759113714999998</v>
      </c>
      <c r="R11" s="19">
        <v>44.057242677349997</v>
      </c>
      <c r="S11" s="19">
        <v>43.355371639699996</v>
      </c>
      <c r="T11" s="19">
        <v>42.653500602050002</v>
      </c>
      <c r="U11" s="19">
        <v>41.951629564400001</v>
      </c>
      <c r="V11" s="19">
        <v>41.24975852675</v>
      </c>
      <c r="W11" s="19">
        <v>40.547887489099999</v>
      </c>
      <c r="X11" s="19">
        <v>39.846016451449998</v>
      </c>
      <c r="Y11" s="19">
        <v>39.144145413800004</v>
      </c>
      <c r="Z11" s="19">
        <v>38.442274376150003</v>
      </c>
      <c r="AA11" s="19">
        <v>37.740403338500002</v>
      </c>
      <c r="AB11" s="19">
        <v>36.994981399580531</v>
      </c>
      <c r="AC11" s="19">
        <v>36.249559460661061</v>
      </c>
      <c r="AD11" s="19">
        <v>35.50413752174159</v>
      </c>
      <c r="AE11" s="19">
        <v>34.75871558282212</v>
      </c>
      <c r="AF11" s="19">
        <v>34.013293643902649</v>
      </c>
      <c r="AG11" s="19">
        <v>33.267871704983179</v>
      </c>
      <c r="AH11" s="19">
        <v>32.522449766063708</v>
      </c>
      <c r="AI11" s="19">
        <v>31.777027827144241</v>
      </c>
      <c r="AJ11" s="19">
        <v>31.031605888224771</v>
      </c>
      <c r="AK11" s="19">
        <v>30.2861839493053</v>
      </c>
      <c r="AL11" s="19">
        <v>29.557979310441269</v>
      </c>
      <c r="AM11" s="19">
        <v>28.82977467157724</v>
      </c>
      <c r="AN11" s="19">
        <v>28.101570032713212</v>
      </c>
      <c r="AO11" s="19">
        <v>27.373365393849181</v>
      </c>
      <c r="AP11" s="19">
        <v>26.645160754985152</v>
      </c>
      <c r="AQ11" s="19">
        <v>25.916956116121121</v>
      </c>
      <c r="AR11" s="19">
        <v>25.188751477257092</v>
      </c>
      <c r="AS11" s="19">
        <v>24.460546838393061</v>
      </c>
      <c r="AT11" s="19">
        <v>23.732342199529029</v>
      </c>
      <c r="AU11" s="19">
        <v>23.004137560665001</v>
      </c>
      <c r="AV11" s="19">
        <v>22.375026437071831</v>
      </c>
      <c r="AW11" s="19">
        <v>21.745915313478662</v>
      </c>
      <c r="AX11" s="19">
        <v>21.116804189885489</v>
      </c>
      <c r="AY11" s="19">
        <v>20.487693066292319</v>
      </c>
      <c r="AZ11" s="19">
        <v>19.85858194269915</v>
      </c>
      <c r="BA11" s="19">
        <v>19.22947081910598</v>
      </c>
      <c r="BB11" s="19">
        <v>18.600359695512807</v>
      </c>
      <c r="BC11" s="19">
        <v>17.971248571919638</v>
      </c>
      <c r="BD11" s="19">
        <v>17.342137448326469</v>
      </c>
      <c r="BE11" s="19">
        <v>16.713026324733299</v>
      </c>
      <c r="BF11" s="19">
        <v>16.210155077354969</v>
      </c>
      <c r="BG11" s="19">
        <v>15.707283829976639</v>
      </c>
      <c r="BH11" s="19">
        <v>15.204412582598309</v>
      </c>
      <c r="BI11" s="19">
        <v>14.701541335219979</v>
      </c>
      <c r="BJ11" s="19">
        <v>14.198670087841649</v>
      </c>
      <c r="BK11" s="19">
        <v>13.695798840463318</v>
      </c>
      <c r="BL11" s="19">
        <v>13.19292759308499</v>
      </c>
      <c r="BM11" s="19">
        <v>12.69005634570666</v>
      </c>
      <c r="BN11" s="19">
        <v>12.18718509832833</v>
      </c>
      <c r="BO11" s="19">
        <v>11.68431385095</v>
      </c>
      <c r="BP11" s="19">
        <v>11.265439517733332</v>
      </c>
      <c r="BQ11" s="19">
        <v>10.846565184516665</v>
      </c>
      <c r="BR11" s="19">
        <v>10.4276908513</v>
      </c>
      <c r="BS11" s="19">
        <v>10.008816518083332</v>
      </c>
      <c r="BT11" s="19">
        <v>9.5899421848666648</v>
      </c>
      <c r="BU11" s="19">
        <v>9.1710678516499975</v>
      </c>
      <c r="BV11" s="19">
        <v>8.7521935184333302</v>
      </c>
      <c r="BW11" s="19">
        <v>8.3333191852166628</v>
      </c>
      <c r="BX11" s="19">
        <v>7.9144448519999973</v>
      </c>
      <c r="BY11" s="19">
        <v>7.4955705187833299</v>
      </c>
      <c r="BZ11" s="19">
        <v>7.215631669871664</v>
      </c>
      <c r="CA11" s="19">
        <v>6.9356928209599982</v>
      </c>
      <c r="CB11" s="19">
        <v>6.6557539720483323</v>
      </c>
      <c r="CC11" s="19">
        <v>6.3758151231366664</v>
      </c>
      <c r="CD11" s="19">
        <v>6.0958762742250006</v>
      </c>
      <c r="CE11" s="19">
        <v>5.8159374253133338</v>
      </c>
      <c r="CF11" s="19">
        <v>5.5359985764016679</v>
      </c>
      <c r="CG11" s="19">
        <v>5.2560597274900021</v>
      </c>
      <c r="CH11" s="19">
        <v>4.9761208785783362</v>
      </c>
      <c r="CI11" s="19">
        <v>4.6961820296666703</v>
      </c>
      <c r="CJ11" s="19">
        <v>4.5231351167000033</v>
      </c>
      <c r="CK11" s="19">
        <v>4.3500882037333364</v>
      </c>
      <c r="CL11" s="19">
        <v>4.1770412907666694</v>
      </c>
      <c r="CM11" s="19">
        <v>4.0039943778000024</v>
      </c>
      <c r="CN11" s="19">
        <v>3.8309474648333355</v>
      </c>
      <c r="CO11" s="19">
        <v>3.6579005518666681</v>
      </c>
      <c r="CP11" s="19">
        <v>3.4848536389000011</v>
      </c>
      <c r="CQ11" s="19">
        <v>3.3118067259333341</v>
      </c>
      <c r="CR11" s="19">
        <v>3.1387598129666672</v>
      </c>
      <c r="CS11" s="19">
        <v>2.9657129000000002</v>
      </c>
    </row>
    <row r="12" spans="1:97" ht="15.75">
      <c r="A12" s="17"/>
      <c r="B12" s="18" t="s">
        <v>16</v>
      </c>
      <c r="C12" s="19">
        <f t="shared" si="1"/>
        <v>670.26766199345093</v>
      </c>
      <c r="D12" s="19">
        <f t="shared" si="2"/>
        <v>899.26330057430107</v>
      </c>
      <c r="E12" s="19">
        <f t="shared" si="3"/>
        <v>2430.4593008692982</v>
      </c>
      <c r="G12" s="19">
        <v>50.023249223299999</v>
      </c>
      <c r="H12" s="19">
        <v>49.763570639055068</v>
      </c>
      <c r="I12" s="19">
        <v>49.503892054810137</v>
      </c>
      <c r="J12" s="19">
        <v>49.244213470565207</v>
      </c>
      <c r="K12" s="19">
        <v>48.984534886320276</v>
      </c>
      <c r="L12" s="19">
        <v>48.724856302075352</v>
      </c>
      <c r="M12" s="19">
        <v>48.465177717830421</v>
      </c>
      <c r="N12" s="19">
        <v>48.205499133585491</v>
      </c>
      <c r="O12" s="19">
        <v>47.94582054934056</v>
      </c>
      <c r="P12" s="19">
        <v>47.686141965095629</v>
      </c>
      <c r="Q12" s="19">
        <v>47.426463380850699</v>
      </c>
      <c r="R12" s="19">
        <v>47.22304642276562</v>
      </c>
      <c r="S12" s="19">
        <v>47.019629464680541</v>
      </c>
      <c r="T12" s="19">
        <v>46.816212506595456</v>
      </c>
      <c r="U12" s="19">
        <v>46.612795548510377</v>
      </c>
      <c r="V12" s="19">
        <v>46.409378590425298</v>
      </c>
      <c r="W12" s="19">
        <v>46.20596163234022</v>
      </c>
      <c r="X12" s="19">
        <v>46.002544674255141</v>
      </c>
      <c r="Y12" s="19">
        <v>45.799127716170055</v>
      </c>
      <c r="Z12" s="19">
        <v>45.595710758084977</v>
      </c>
      <c r="AA12" s="19">
        <v>45.392293799999898</v>
      </c>
      <c r="AB12" s="19">
        <v>44.724381839999907</v>
      </c>
      <c r="AC12" s="19">
        <v>44.056469879999916</v>
      </c>
      <c r="AD12" s="19">
        <v>43.388557919999926</v>
      </c>
      <c r="AE12" s="19">
        <v>42.720645959999935</v>
      </c>
      <c r="AF12" s="19">
        <v>42.052733999999944</v>
      </c>
      <c r="AG12" s="19">
        <v>41.38482203999996</v>
      </c>
      <c r="AH12" s="19">
        <v>40.71691007999997</v>
      </c>
      <c r="AI12" s="19">
        <v>40.048998119999979</v>
      </c>
      <c r="AJ12" s="19">
        <v>39.381086159999988</v>
      </c>
      <c r="AK12" s="19">
        <v>38.713174199999997</v>
      </c>
      <c r="AL12" s="19">
        <v>37.912144129999994</v>
      </c>
      <c r="AM12" s="19">
        <v>37.111114059999998</v>
      </c>
      <c r="AN12" s="19">
        <v>36.310083989999995</v>
      </c>
      <c r="AO12" s="19">
        <v>35.509053919999999</v>
      </c>
      <c r="AP12" s="19">
        <v>34.708023849999996</v>
      </c>
      <c r="AQ12" s="19">
        <v>33.906993780000001</v>
      </c>
      <c r="AR12" s="19">
        <v>33.105963709999997</v>
      </c>
      <c r="AS12" s="19">
        <v>32.304933640000002</v>
      </c>
      <c r="AT12" s="19">
        <v>31.503903569999999</v>
      </c>
      <c r="AU12" s="19">
        <v>30.702873499999999</v>
      </c>
      <c r="AV12" s="19">
        <v>29.676323059999998</v>
      </c>
      <c r="AW12" s="19">
        <v>28.64977262</v>
      </c>
      <c r="AX12" s="19">
        <v>27.623222179999999</v>
      </c>
      <c r="AY12" s="19">
        <v>26.596671739999998</v>
      </c>
      <c r="AZ12" s="19">
        <v>25.5701213</v>
      </c>
      <c r="BA12" s="19">
        <v>24.543570860000003</v>
      </c>
      <c r="BB12" s="19">
        <v>23.517020420000001</v>
      </c>
      <c r="BC12" s="19">
        <v>22.49046998</v>
      </c>
      <c r="BD12" s="19">
        <v>21.463919539999999</v>
      </c>
      <c r="BE12" s="19">
        <v>20.437369100000002</v>
      </c>
      <c r="BF12" s="19">
        <v>19.871098329888991</v>
      </c>
      <c r="BG12" s="19">
        <v>19.30482755977798</v>
      </c>
      <c r="BH12" s="19">
        <v>18.738556789666973</v>
      </c>
      <c r="BI12" s="19">
        <v>18.172286019555962</v>
      </c>
      <c r="BJ12" s="19">
        <v>17.606015249444951</v>
      </c>
      <c r="BK12" s="19">
        <v>17.03974447933394</v>
      </c>
      <c r="BL12" s="19">
        <v>16.47347370922293</v>
      </c>
      <c r="BM12" s="19">
        <v>15.907202939111921</v>
      </c>
      <c r="BN12" s="19">
        <v>15.340932169000912</v>
      </c>
      <c r="BO12" s="19">
        <v>14.774661398889901</v>
      </c>
      <c r="BP12" s="19">
        <v>14.478026312010911</v>
      </c>
      <c r="BQ12" s="19">
        <v>14.18139122513192</v>
      </c>
      <c r="BR12" s="19">
        <v>13.88475613825293</v>
      </c>
      <c r="BS12" s="19">
        <v>13.588121051373941</v>
      </c>
      <c r="BT12" s="19">
        <v>13.291485964494949</v>
      </c>
      <c r="BU12" s="19">
        <v>12.99485087761596</v>
      </c>
      <c r="BV12" s="19">
        <v>12.69821579073697</v>
      </c>
      <c r="BW12" s="19">
        <v>12.401580703857981</v>
      </c>
      <c r="BX12" s="19">
        <v>12.10494561697899</v>
      </c>
      <c r="BY12" s="19">
        <v>11.8083105301</v>
      </c>
      <c r="BZ12" s="19">
        <v>11.70022342838999</v>
      </c>
      <c r="CA12" s="19">
        <v>11.592136326679981</v>
      </c>
      <c r="CB12" s="19">
        <v>11.48404922496997</v>
      </c>
      <c r="CC12" s="19">
        <v>11.37596212325996</v>
      </c>
      <c r="CD12" s="19">
        <v>11.267875021549951</v>
      </c>
      <c r="CE12" s="19">
        <v>11.159787919839941</v>
      </c>
      <c r="CF12" s="19">
        <v>11.05170081812993</v>
      </c>
      <c r="CG12" s="19">
        <v>10.94361371641992</v>
      </c>
      <c r="CH12" s="19">
        <v>10.835526614709911</v>
      </c>
      <c r="CI12" s="19">
        <v>10.727439512999901</v>
      </c>
      <c r="CJ12" s="19">
        <v>10.660011848519911</v>
      </c>
      <c r="CK12" s="19">
        <v>10.59258418403992</v>
      </c>
      <c r="CL12" s="19">
        <v>10.52515651955993</v>
      </c>
      <c r="CM12" s="19">
        <v>10.457728855079941</v>
      </c>
      <c r="CN12" s="19">
        <v>10.390301190599949</v>
      </c>
      <c r="CO12" s="19">
        <v>10.32287352611996</v>
      </c>
      <c r="CP12" s="19">
        <v>10.25544586163997</v>
      </c>
      <c r="CQ12" s="19">
        <v>10.18801819715998</v>
      </c>
      <c r="CR12" s="19">
        <v>10.120590532679989</v>
      </c>
      <c r="CS12" s="19">
        <v>10.053162868199999</v>
      </c>
    </row>
    <row r="13" spans="1:97" ht="15.75">
      <c r="A13" s="17" t="s">
        <v>21</v>
      </c>
      <c r="B13" s="18" t="s">
        <v>15</v>
      </c>
      <c r="C13" s="19">
        <f t="shared" si="1"/>
        <v>539.62045572822478</v>
      </c>
      <c r="D13" s="19">
        <f t="shared" si="2"/>
        <v>686.51185854078665</v>
      </c>
      <c r="E13" s="19">
        <f t="shared" si="3"/>
        <v>908.26826175231065</v>
      </c>
      <c r="G13" s="19">
        <v>47.276624956523811</v>
      </c>
      <c r="H13" s="19">
        <v>46.236239057118098</v>
      </c>
      <c r="I13" s="19">
        <v>45.195853157712385</v>
      </c>
      <c r="J13" s="19">
        <v>44.155467258306665</v>
      </c>
      <c r="K13" s="19">
        <v>43.115081358900952</v>
      </c>
      <c r="L13" s="19">
        <v>42.074695459495238</v>
      </c>
      <c r="M13" s="19">
        <v>41.034309560089525</v>
      </c>
      <c r="N13" s="19">
        <v>39.993923660683812</v>
      </c>
      <c r="O13" s="19">
        <v>38.953537761278099</v>
      </c>
      <c r="P13" s="19">
        <v>37.913151861872379</v>
      </c>
      <c r="Q13" s="19">
        <v>36.872765962466666</v>
      </c>
      <c r="R13" s="19">
        <v>35.935955287472382</v>
      </c>
      <c r="S13" s="19">
        <v>34.999144612478091</v>
      </c>
      <c r="T13" s="19">
        <v>34.062333937483807</v>
      </c>
      <c r="U13" s="19">
        <v>33.125523262489523</v>
      </c>
      <c r="V13" s="19">
        <v>32.188712587495239</v>
      </c>
      <c r="W13" s="19">
        <v>31.251901912500951</v>
      </c>
      <c r="X13" s="19">
        <v>30.315091237506664</v>
      </c>
      <c r="Y13" s="19">
        <v>29.37828056251238</v>
      </c>
      <c r="Z13" s="19">
        <v>28.441469887518096</v>
      </c>
      <c r="AA13" s="19">
        <v>27.504659212523809</v>
      </c>
      <c r="AB13" s="19">
        <v>26.418935062723808</v>
      </c>
      <c r="AC13" s="19">
        <v>25.333210912923807</v>
      </c>
      <c r="AD13" s="19">
        <v>24.24748676312381</v>
      </c>
      <c r="AE13" s="19">
        <v>23.161762613323809</v>
      </c>
      <c r="AF13" s="19">
        <v>22.076038463523808</v>
      </c>
      <c r="AG13" s="19">
        <v>20.990314313723808</v>
      </c>
      <c r="AH13" s="19">
        <v>19.904590163923807</v>
      </c>
      <c r="AI13" s="19">
        <v>18.818866014123806</v>
      </c>
      <c r="AJ13" s="19">
        <v>17.733141864323805</v>
      </c>
      <c r="AK13" s="19">
        <v>16.647417714523808</v>
      </c>
      <c r="AL13" s="19">
        <v>15.582096531595237</v>
      </c>
      <c r="AM13" s="19">
        <v>14.516775348666666</v>
      </c>
      <c r="AN13" s="19">
        <v>13.451454165738095</v>
      </c>
      <c r="AO13" s="19">
        <v>12.386132982809523</v>
      </c>
      <c r="AP13" s="19">
        <v>11.320811799880952</v>
      </c>
      <c r="AQ13" s="19">
        <v>10.255490616952381</v>
      </c>
      <c r="AR13" s="19">
        <v>9.190169434023808</v>
      </c>
      <c r="AS13" s="19">
        <v>8.1248482510952371</v>
      </c>
      <c r="AT13" s="19">
        <v>7.0595270681666662</v>
      </c>
      <c r="AU13" s="19">
        <v>5.9942058852380953</v>
      </c>
      <c r="AV13" s="19">
        <v>5.5489266573809521</v>
      </c>
      <c r="AW13" s="19">
        <v>5.103647429523809</v>
      </c>
      <c r="AX13" s="19">
        <v>4.6583682016666668</v>
      </c>
      <c r="AY13" s="19">
        <v>4.2130889738095236</v>
      </c>
      <c r="AZ13" s="19">
        <v>3.7678097459523805</v>
      </c>
      <c r="BA13" s="19">
        <v>3.3225305180952374</v>
      </c>
      <c r="BB13" s="19">
        <v>2.8772512902380947</v>
      </c>
      <c r="BC13" s="19">
        <v>2.4319720623809515</v>
      </c>
      <c r="BD13" s="19">
        <v>1.9866928345238088</v>
      </c>
      <c r="BE13" s="19">
        <v>1.5414136066666655</v>
      </c>
      <c r="BF13" s="19">
        <v>1.2977921126666656</v>
      </c>
      <c r="BG13" s="19">
        <v>1.0541706186666659</v>
      </c>
      <c r="BH13" s="19">
        <v>0.81054912466666595</v>
      </c>
      <c r="BI13" s="19">
        <v>0.56692763066666618</v>
      </c>
      <c r="BJ13" s="19">
        <v>0.3233061366666663</v>
      </c>
      <c r="BK13" s="19">
        <v>7.9684642666666416E-2</v>
      </c>
      <c r="BL13" s="19">
        <v>-0.16393685133333324</v>
      </c>
      <c r="BM13" s="19">
        <v>-0.40755834533333313</v>
      </c>
      <c r="BN13" s="19">
        <v>-0.65117983933333323</v>
      </c>
      <c r="BO13" s="19">
        <v>-0.89480133333333267</v>
      </c>
      <c r="BP13" s="19">
        <v>-1.0564368839523803</v>
      </c>
      <c r="BQ13" s="19">
        <v>-1.218072434571428</v>
      </c>
      <c r="BR13" s="19">
        <v>-1.3797079851904757</v>
      </c>
      <c r="BS13" s="19">
        <v>-1.5413435358095233</v>
      </c>
      <c r="BT13" s="19">
        <v>-1.702979086428571</v>
      </c>
      <c r="BU13" s="19">
        <v>-1.8646146370476187</v>
      </c>
      <c r="BV13" s="19">
        <v>-2.0262501876666663</v>
      </c>
      <c r="BW13" s="19">
        <v>-2.187885738285714</v>
      </c>
      <c r="BX13" s="19">
        <v>-2.3495212889047616</v>
      </c>
      <c r="BY13" s="19">
        <v>-2.5111568395238093</v>
      </c>
      <c r="BZ13" s="19">
        <v>-2.8281117601142856</v>
      </c>
      <c r="CA13" s="19">
        <v>-3.1450666807047614</v>
      </c>
      <c r="CB13" s="19">
        <v>-3.4620216012952376</v>
      </c>
      <c r="CC13" s="19">
        <v>-3.7789765218857134</v>
      </c>
      <c r="CD13" s="19">
        <v>-4.0959314424761892</v>
      </c>
      <c r="CE13" s="19">
        <v>-4.412886363066665</v>
      </c>
      <c r="CF13" s="19">
        <v>-4.7298412836571417</v>
      </c>
      <c r="CG13" s="19">
        <v>-5.0467962042476184</v>
      </c>
      <c r="CH13" s="19">
        <v>-5.3637511248380942</v>
      </c>
      <c r="CI13" s="19">
        <v>-5.6807060454285701</v>
      </c>
      <c r="CJ13" s="19">
        <v>-6.0758771340904749</v>
      </c>
      <c r="CK13" s="19">
        <v>-6.4710482227523798</v>
      </c>
      <c r="CL13" s="19">
        <v>-6.8662193114142847</v>
      </c>
      <c r="CM13" s="19">
        <v>-7.2613904000761895</v>
      </c>
      <c r="CN13" s="19">
        <v>-7.6565614887380944</v>
      </c>
      <c r="CO13" s="19">
        <v>-8.0517325773999993</v>
      </c>
      <c r="CP13" s="19">
        <v>-8.4469036660619032</v>
      </c>
      <c r="CQ13" s="19">
        <v>-8.842074754723809</v>
      </c>
      <c r="CR13" s="19">
        <v>-9.2372458433857147</v>
      </c>
      <c r="CS13" s="19">
        <v>-9.6324169320476187</v>
      </c>
    </row>
    <row r="14" spans="1:97" ht="15.75">
      <c r="A14" s="17"/>
      <c r="B14" s="18" t="s">
        <v>20</v>
      </c>
      <c r="C14" s="19">
        <f t="shared" si="1"/>
        <v>573.67072364770945</v>
      </c>
      <c r="D14" s="19">
        <f t="shared" si="2"/>
        <v>737.30783957561414</v>
      </c>
      <c r="E14" s="19">
        <f t="shared" si="3"/>
        <v>1260.643709331353</v>
      </c>
      <c r="G14" s="19">
        <v>47.423306384952369</v>
      </c>
      <c r="H14" s="19">
        <v>46.687813308790467</v>
      </c>
      <c r="I14" s="19">
        <v>45.952320232628558</v>
      </c>
      <c r="J14" s="19">
        <v>45.216827156466657</v>
      </c>
      <c r="K14" s="19">
        <v>44.481334080304755</v>
      </c>
      <c r="L14" s="19">
        <v>43.745841004142846</v>
      </c>
      <c r="M14" s="19">
        <v>43.010347927980945</v>
      </c>
      <c r="N14" s="19">
        <v>42.274854851819043</v>
      </c>
      <c r="O14" s="19">
        <v>41.539361775657142</v>
      </c>
      <c r="P14" s="19">
        <v>40.803868699495233</v>
      </c>
      <c r="Q14" s="19">
        <v>40.068375623333331</v>
      </c>
      <c r="R14" s="19">
        <v>39.150756568614284</v>
      </c>
      <c r="S14" s="19">
        <v>38.233137513895237</v>
      </c>
      <c r="T14" s="19">
        <v>37.315518459176189</v>
      </c>
      <c r="U14" s="19">
        <v>36.397899404457142</v>
      </c>
      <c r="V14" s="19">
        <v>35.480280349738095</v>
      </c>
      <c r="W14" s="19">
        <v>34.562661295019041</v>
      </c>
      <c r="X14" s="19">
        <v>33.645042240299993</v>
      </c>
      <c r="Y14" s="19">
        <v>32.727423185580946</v>
      </c>
      <c r="Z14" s="19">
        <v>31.809804130861899</v>
      </c>
      <c r="AA14" s="19">
        <v>30.892185076142852</v>
      </c>
      <c r="AB14" s="19">
        <v>30.004835389814282</v>
      </c>
      <c r="AC14" s="19">
        <v>29.117485703485709</v>
      </c>
      <c r="AD14" s="19">
        <v>28.23013601715714</v>
      </c>
      <c r="AE14" s="19">
        <v>27.342786330828567</v>
      </c>
      <c r="AF14" s="19">
        <v>26.455436644499997</v>
      </c>
      <c r="AG14" s="19">
        <v>25.568086958171428</v>
      </c>
      <c r="AH14" s="19">
        <v>24.680737271842855</v>
      </c>
      <c r="AI14" s="19">
        <v>23.793387585514285</v>
      </c>
      <c r="AJ14" s="19">
        <v>22.906037899185712</v>
      </c>
      <c r="AK14" s="19">
        <v>22.018688212857143</v>
      </c>
      <c r="AL14" s="19">
        <v>21.165415526809525</v>
      </c>
      <c r="AM14" s="19">
        <v>20.312142840761904</v>
      </c>
      <c r="AN14" s="19">
        <v>19.458870154714287</v>
      </c>
      <c r="AO14" s="19">
        <v>18.605597468666666</v>
      </c>
      <c r="AP14" s="19">
        <v>17.752324782619048</v>
      </c>
      <c r="AQ14" s="19">
        <v>16.899052096571431</v>
      </c>
      <c r="AR14" s="19">
        <v>16.04577941052381</v>
      </c>
      <c r="AS14" s="19">
        <v>15.192506724476193</v>
      </c>
      <c r="AT14" s="19">
        <v>14.339234038428573</v>
      </c>
      <c r="AU14" s="19">
        <v>13.485961352380954</v>
      </c>
      <c r="AV14" s="19">
        <v>12.86632762061905</v>
      </c>
      <c r="AW14" s="19">
        <v>12.246693888857145</v>
      </c>
      <c r="AX14" s="19">
        <v>11.62706015709524</v>
      </c>
      <c r="AY14" s="19">
        <v>11.007426425333335</v>
      </c>
      <c r="AZ14" s="19">
        <v>10.387792693571429</v>
      </c>
      <c r="BA14" s="19">
        <v>9.7681589618095241</v>
      </c>
      <c r="BB14" s="19">
        <v>9.1485252300476194</v>
      </c>
      <c r="BC14" s="19">
        <v>8.5288914982857147</v>
      </c>
      <c r="BD14" s="19">
        <v>7.90925776652381</v>
      </c>
      <c r="BE14" s="19">
        <v>7.2896240347619043</v>
      </c>
      <c r="BF14" s="19">
        <v>6.8354459078333329</v>
      </c>
      <c r="BG14" s="19">
        <v>6.3812677809047615</v>
      </c>
      <c r="BH14" s="19">
        <v>5.9270896539761893</v>
      </c>
      <c r="BI14" s="19">
        <v>5.4729115270476179</v>
      </c>
      <c r="BJ14" s="19">
        <v>5.0187334001190465</v>
      </c>
      <c r="BK14" s="19">
        <v>4.564555273190475</v>
      </c>
      <c r="BL14" s="19">
        <v>4.1103771462619036</v>
      </c>
      <c r="BM14" s="19">
        <v>3.6561990193333322</v>
      </c>
      <c r="BN14" s="19">
        <v>3.2020208924047608</v>
      </c>
      <c r="BO14" s="19">
        <v>2.7478427654761894</v>
      </c>
      <c r="BP14" s="19">
        <v>2.415143447357142</v>
      </c>
      <c r="BQ14" s="19">
        <v>2.0824441292380946</v>
      </c>
      <c r="BR14" s="19">
        <v>1.7497448111190468</v>
      </c>
      <c r="BS14" s="19">
        <v>1.4170454929999994</v>
      </c>
      <c r="BT14" s="19">
        <v>1.084346174880952</v>
      </c>
      <c r="BU14" s="19">
        <v>0.75164685676190435</v>
      </c>
      <c r="BV14" s="19">
        <v>0.41894753864285672</v>
      </c>
      <c r="BW14" s="19">
        <v>8.6248220523809316E-2</v>
      </c>
      <c r="BX14" s="19">
        <v>-0.24645109759523809</v>
      </c>
      <c r="BY14" s="19">
        <v>-0.57915041571428549</v>
      </c>
      <c r="BZ14" s="19">
        <v>-0.87394135538095219</v>
      </c>
      <c r="CA14" s="19">
        <v>-1.1687322950476189</v>
      </c>
      <c r="CB14" s="19">
        <v>-1.4635232347142855</v>
      </c>
      <c r="CC14" s="19">
        <v>-1.7583141743809523</v>
      </c>
      <c r="CD14" s="19">
        <v>-2.0531051140476189</v>
      </c>
      <c r="CE14" s="19">
        <v>-2.3478960537142854</v>
      </c>
      <c r="CF14" s="19">
        <v>-2.642686993380952</v>
      </c>
      <c r="CG14" s="19">
        <v>-2.9374779330476191</v>
      </c>
      <c r="CH14" s="19">
        <v>-3.2322688727142856</v>
      </c>
      <c r="CI14" s="19">
        <v>-3.5270598123809522</v>
      </c>
      <c r="CJ14" s="19">
        <v>-3.7204997304285712</v>
      </c>
      <c r="CK14" s="19">
        <v>-3.9139396484761897</v>
      </c>
      <c r="CL14" s="19">
        <v>-4.1073795665238082</v>
      </c>
      <c r="CM14" s="19">
        <v>-4.3008194845714272</v>
      </c>
      <c r="CN14" s="19">
        <v>-4.4942594026190461</v>
      </c>
      <c r="CO14" s="19">
        <v>-4.6876993206666651</v>
      </c>
      <c r="CP14" s="19">
        <v>-4.8811392387142831</v>
      </c>
      <c r="CQ14" s="19">
        <v>-5.074579156761903</v>
      </c>
      <c r="CR14" s="19">
        <v>-5.268019074809521</v>
      </c>
      <c r="CS14" s="19">
        <v>-5.46145899285714</v>
      </c>
    </row>
    <row r="15" spans="1:97" ht="15.75">
      <c r="A15" s="17"/>
      <c r="B15" s="18" t="s">
        <v>16</v>
      </c>
      <c r="C15" s="19">
        <f t="shared" si="1"/>
        <v>649.32793224716761</v>
      </c>
      <c r="D15" s="19">
        <f t="shared" si="2"/>
        <v>838.97825649861534</v>
      </c>
      <c r="E15" s="19">
        <f t="shared" si="3"/>
        <v>1584.5599039847727</v>
      </c>
      <c r="G15" s="19">
        <v>49.91859401366667</v>
      </c>
      <c r="H15" s="19">
        <v>49.601246309703811</v>
      </c>
      <c r="I15" s="19">
        <v>49.283898605740958</v>
      </c>
      <c r="J15" s="19">
        <v>48.966550901778099</v>
      </c>
      <c r="K15" s="19">
        <v>48.64920319781524</v>
      </c>
      <c r="L15" s="19">
        <v>48.331855493852387</v>
      </c>
      <c r="M15" s="19">
        <v>48.014507789889528</v>
      </c>
      <c r="N15" s="19">
        <v>47.697160085926669</v>
      </c>
      <c r="O15" s="19">
        <v>47.379812381963809</v>
      </c>
      <c r="P15" s="19">
        <v>47.062464678000957</v>
      </c>
      <c r="Q15" s="19">
        <v>46.745116974038098</v>
      </c>
      <c r="R15" s="19">
        <v>45.643235458569528</v>
      </c>
      <c r="S15" s="19">
        <v>44.541353943100951</v>
      </c>
      <c r="T15" s="19">
        <v>43.439472427632381</v>
      </c>
      <c r="U15" s="19">
        <v>42.337590912163812</v>
      </c>
      <c r="V15" s="19">
        <v>41.235709396695242</v>
      </c>
      <c r="W15" s="19">
        <v>40.133827881226665</v>
      </c>
      <c r="X15" s="19">
        <v>39.031946365758095</v>
      </c>
      <c r="Y15" s="19">
        <v>37.930064850289526</v>
      </c>
      <c r="Z15" s="19">
        <v>36.828183334820949</v>
      </c>
      <c r="AA15" s="19">
        <v>35.726301819352379</v>
      </c>
      <c r="AB15" s="19">
        <v>34.775969178274288</v>
      </c>
      <c r="AC15" s="19">
        <v>33.825636537196189</v>
      </c>
      <c r="AD15" s="19">
        <v>32.875303896118098</v>
      </c>
      <c r="AE15" s="19">
        <v>31.924971255039999</v>
      </c>
      <c r="AF15" s="19">
        <v>30.974638613961908</v>
      </c>
      <c r="AG15" s="19">
        <v>30.024305972883809</v>
      </c>
      <c r="AH15" s="19">
        <v>29.073973331805718</v>
      </c>
      <c r="AI15" s="19">
        <v>28.123640690727623</v>
      </c>
      <c r="AJ15" s="19">
        <v>27.173308049649528</v>
      </c>
      <c r="AK15" s="19">
        <v>26.222975408571433</v>
      </c>
      <c r="AL15" s="19">
        <v>25.24061278149048</v>
      </c>
      <c r="AM15" s="19">
        <v>24.258250154409527</v>
      </c>
      <c r="AN15" s="19">
        <v>23.275887527328575</v>
      </c>
      <c r="AO15" s="19">
        <v>22.293524900247622</v>
      </c>
      <c r="AP15" s="19">
        <v>21.311162273166669</v>
      </c>
      <c r="AQ15" s="19">
        <v>20.328799646085717</v>
      </c>
      <c r="AR15" s="19">
        <v>19.346437019004764</v>
      </c>
      <c r="AS15" s="19">
        <v>18.364074391923811</v>
      </c>
      <c r="AT15" s="19">
        <v>17.381711764842859</v>
      </c>
      <c r="AU15" s="19">
        <v>16.399349137761906</v>
      </c>
      <c r="AV15" s="19">
        <v>15.834465154957144</v>
      </c>
      <c r="AW15" s="19">
        <v>15.269581172152382</v>
      </c>
      <c r="AX15" s="19">
        <v>14.70469718934762</v>
      </c>
      <c r="AY15" s="19">
        <v>14.139813206542858</v>
      </c>
      <c r="AZ15" s="19">
        <v>13.574929223738096</v>
      </c>
      <c r="BA15" s="19">
        <v>13.010045240933334</v>
      </c>
      <c r="BB15" s="19">
        <v>12.445161258128572</v>
      </c>
      <c r="BC15" s="19">
        <v>11.88027727532381</v>
      </c>
      <c r="BD15" s="19">
        <v>11.315393292519047</v>
      </c>
      <c r="BE15" s="19">
        <v>10.750509309714285</v>
      </c>
      <c r="BF15" s="19">
        <v>10.282240266285713</v>
      </c>
      <c r="BG15" s="19">
        <v>9.813971222857143</v>
      </c>
      <c r="BH15" s="19">
        <v>9.3457021794285708</v>
      </c>
      <c r="BI15" s="19">
        <v>8.8774331359999987</v>
      </c>
      <c r="BJ15" s="19">
        <v>8.4091640925714266</v>
      </c>
      <c r="BK15" s="19">
        <v>7.9408950491428563</v>
      </c>
      <c r="BL15" s="19">
        <v>7.4726260057142841</v>
      </c>
      <c r="BM15" s="19">
        <v>7.0043569622857129</v>
      </c>
      <c r="BN15" s="19">
        <v>6.5360879188571408</v>
      </c>
      <c r="BO15" s="19">
        <v>6.0678188754285696</v>
      </c>
      <c r="BP15" s="19">
        <v>5.629626612357141</v>
      </c>
      <c r="BQ15" s="19">
        <v>5.1914343492857125</v>
      </c>
      <c r="BR15" s="19">
        <v>4.7532420862142839</v>
      </c>
      <c r="BS15" s="19">
        <v>4.3150498231428562</v>
      </c>
      <c r="BT15" s="19">
        <v>3.8768575600714277</v>
      </c>
      <c r="BU15" s="19">
        <v>3.4386652969999991</v>
      </c>
      <c r="BV15" s="19">
        <v>3.000473033928571</v>
      </c>
      <c r="BW15" s="19">
        <v>2.5622807708571425</v>
      </c>
      <c r="BX15" s="19">
        <v>2.1240885077857139</v>
      </c>
      <c r="BY15" s="19">
        <v>1.685896244714286</v>
      </c>
      <c r="BZ15" s="19">
        <v>1.4063163900047624</v>
      </c>
      <c r="CA15" s="19">
        <v>1.1267365352952388</v>
      </c>
      <c r="CB15" s="19">
        <v>0.84715668058571514</v>
      </c>
      <c r="CC15" s="19">
        <v>0.56757682587619152</v>
      </c>
      <c r="CD15" s="19">
        <v>0.28799697116666789</v>
      </c>
      <c r="CE15" s="19">
        <v>8.4171164571442691E-3</v>
      </c>
      <c r="CF15" s="19">
        <v>-0.27116273825237913</v>
      </c>
      <c r="CG15" s="19">
        <v>-0.55074259296190298</v>
      </c>
      <c r="CH15" s="19">
        <v>-0.8303224476714266</v>
      </c>
      <c r="CI15" s="19">
        <v>-1.10990230238095</v>
      </c>
      <c r="CJ15" s="19">
        <v>-1.2780607528523789</v>
      </c>
      <c r="CK15" s="19">
        <v>-1.4462192033238077</v>
      </c>
      <c r="CL15" s="19">
        <v>-1.6143776537952368</v>
      </c>
      <c r="CM15" s="19">
        <v>-1.7825361042666656</v>
      </c>
      <c r="CN15" s="19">
        <v>-1.9506945547380945</v>
      </c>
      <c r="CO15" s="19">
        <v>-2.1188530052095231</v>
      </c>
      <c r="CP15" s="19">
        <v>-2.2870114556809522</v>
      </c>
      <c r="CQ15" s="19">
        <v>-2.4551699061523813</v>
      </c>
      <c r="CR15" s="19">
        <v>-2.6233283566238104</v>
      </c>
      <c r="CS15" s="19">
        <v>-2.791486807095239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29"/>
  <sheetViews>
    <sheetView workbookViewId="0">
      <selection activeCell="P25" sqref="P25:Q25"/>
    </sheetView>
  </sheetViews>
  <sheetFormatPr defaultRowHeight="15"/>
  <cols>
    <col min="1" max="1" width="19.42578125" style="1" customWidth="1"/>
    <col min="2" max="2" width="5" bestFit="1" customWidth="1"/>
    <col min="3" max="7" width="5" customWidth="1"/>
    <col min="8" max="8" width="2" customWidth="1"/>
    <col min="9" max="9" width="11.7109375" customWidth="1"/>
    <col min="10" max="10" width="11.7109375" style="1" customWidth="1"/>
    <col min="11" max="13" width="11.7109375" customWidth="1"/>
    <col min="14" max="14" width="5.5703125" bestFit="1" customWidth="1"/>
  </cols>
  <sheetData>
    <row r="1" spans="1:17" s="1" customFormat="1">
      <c r="A1" s="33" t="s">
        <v>9</v>
      </c>
    </row>
    <row r="2" spans="1:17" s="1" customFormat="1">
      <c r="A2" s="1" t="s">
        <v>10</v>
      </c>
    </row>
    <row r="3" spans="1:17" s="1" customFormat="1" ht="32.25" customHeight="1">
      <c r="A3" s="193" t="s">
        <v>49</v>
      </c>
      <c r="B3" s="193"/>
      <c r="C3" s="193"/>
      <c r="D3" s="193"/>
      <c r="E3" s="193"/>
      <c r="F3" s="193"/>
      <c r="G3" s="193"/>
      <c r="H3" s="193"/>
      <c r="I3" s="193"/>
      <c r="J3" s="193"/>
      <c r="K3" s="193"/>
      <c r="L3" s="193"/>
      <c r="M3" s="193"/>
      <c r="N3" s="193"/>
    </row>
    <row r="4" spans="1:17">
      <c r="A4" s="195" t="s">
        <v>7</v>
      </c>
      <c r="B4" s="196"/>
      <c r="C4" s="196"/>
      <c r="D4" s="196"/>
      <c r="E4" s="196"/>
      <c r="F4" s="196"/>
      <c r="G4" s="196"/>
      <c r="H4" s="196"/>
      <c r="I4" s="196"/>
      <c r="J4" s="196"/>
      <c r="K4" s="196"/>
      <c r="L4" s="196"/>
      <c r="M4" s="196"/>
      <c r="N4" s="197"/>
    </row>
    <row r="5" spans="1:17" s="1" customFormat="1">
      <c r="A5" s="5"/>
      <c r="B5" s="198" t="s">
        <v>12</v>
      </c>
      <c r="C5" s="199"/>
      <c r="D5" s="199"/>
      <c r="E5" s="199"/>
      <c r="F5" s="199"/>
      <c r="G5" s="200"/>
      <c r="H5" s="9"/>
      <c r="I5" s="198" t="s">
        <v>13</v>
      </c>
      <c r="J5" s="199"/>
      <c r="K5" s="199"/>
      <c r="L5" s="199"/>
      <c r="M5" s="199"/>
      <c r="N5" s="201"/>
    </row>
    <row r="6" spans="1:17">
      <c r="A6" s="5"/>
      <c r="B6" s="5">
        <v>2011</v>
      </c>
      <c r="C6" s="5">
        <v>2020</v>
      </c>
      <c r="D6" s="5">
        <v>2025</v>
      </c>
      <c r="E6" s="5">
        <v>2030</v>
      </c>
      <c r="F6" s="5">
        <v>2060</v>
      </c>
      <c r="G6" s="5">
        <v>2100</v>
      </c>
      <c r="H6" s="5"/>
      <c r="I6" s="5" t="s">
        <v>6</v>
      </c>
      <c r="J6" s="5" t="s">
        <v>101</v>
      </c>
      <c r="K6" s="5" t="s">
        <v>102</v>
      </c>
      <c r="L6" s="5" t="s">
        <v>103</v>
      </c>
      <c r="M6" s="5" t="s">
        <v>104</v>
      </c>
      <c r="N6" s="8" t="s">
        <v>11</v>
      </c>
    </row>
    <row r="7" spans="1:17">
      <c r="A7" s="5" t="s">
        <v>2</v>
      </c>
      <c r="B7" s="10">
        <v>17.100000000000001</v>
      </c>
      <c r="C7" s="10">
        <v>18.600000000000001</v>
      </c>
      <c r="D7" s="10">
        <v>19</v>
      </c>
      <c r="E7" s="10">
        <v>20</v>
      </c>
      <c r="F7" s="10">
        <v>30.5</v>
      </c>
      <c r="G7" s="10">
        <v>35.5</v>
      </c>
      <c r="H7" s="11"/>
      <c r="I7" s="12">
        <f>9*(B7+(C7-B7)/2)</f>
        <v>160.65</v>
      </c>
      <c r="J7" s="12">
        <f>5*(C7+(D7-C7)/2)</f>
        <v>94</v>
      </c>
      <c r="K7" s="12">
        <f>5*(D7+(E7-D7)/2)</f>
        <v>97.5</v>
      </c>
      <c r="L7" s="12">
        <f>30*(E7+(F7-E7)/2)</f>
        <v>757.5</v>
      </c>
      <c r="M7" s="12">
        <f>40*(F7+(G7-F7)/2)</f>
        <v>1320</v>
      </c>
      <c r="N7" s="13">
        <f t="shared" ref="N7:N12" si="0">SUM(I7:M7)</f>
        <v>2429.65</v>
      </c>
    </row>
    <row r="8" spans="1:17">
      <c r="A8" s="5" t="s">
        <v>0</v>
      </c>
      <c r="B8" s="10">
        <v>12</v>
      </c>
      <c r="C8" s="10">
        <v>16.5</v>
      </c>
      <c r="D8" s="10">
        <v>17</v>
      </c>
      <c r="E8" s="10">
        <v>18</v>
      </c>
      <c r="F8" s="10">
        <v>19.5</v>
      </c>
      <c r="G8" s="10">
        <v>20.8</v>
      </c>
      <c r="H8" s="11"/>
      <c r="I8" s="12">
        <f t="shared" ref="I8:I12" si="1">9*(B8+(C8-B8)/2)</f>
        <v>128.25</v>
      </c>
      <c r="J8" s="12">
        <f t="shared" ref="J8:J12" si="2">5*(C8+(D8-C8)/2)</f>
        <v>83.75</v>
      </c>
      <c r="K8" s="12">
        <f t="shared" ref="K8:K12" si="3">5*(D8+(E8-D8)/2)</f>
        <v>87.5</v>
      </c>
      <c r="L8" s="12">
        <f t="shared" ref="L8:L12" si="4">30*(E8+(F8-E8)/2)</f>
        <v>562.5</v>
      </c>
      <c r="M8" s="12">
        <f t="shared" ref="M8:M12" si="5">40*(F8+(G8-F8)/2)</f>
        <v>806</v>
      </c>
      <c r="N8" s="13">
        <f t="shared" si="0"/>
        <v>1668</v>
      </c>
    </row>
    <row r="9" spans="1:17">
      <c r="A9" s="5" t="s">
        <v>1</v>
      </c>
      <c r="B9" s="10">
        <v>7.5</v>
      </c>
      <c r="C9" s="10">
        <v>7.5</v>
      </c>
      <c r="D9" s="10">
        <v>7.2</v>
      </c>
      <c r="E9" s="10">
        <v>7</v>
      </c>
      <c r="F9" s="10">
        <v>9</v>
      </c>
      <c r="G9" s="10">
        <v>9.5</v>
      </c>
      <c r="H9" s="11"/>
      <c r="I9" s="12">
        <f t="shared" si="1"/>
        <v>67.5</v>
      </c>
      <c r="J9" s="12">
        <f t="shared" si="2"/>
        <v>36.75</v>
      </c>
      <c r="K9" s="12">
        <f t="shared" si="3"/>
        <v>35.5</v>
      </c>
      <c r="L9" s="12">
        <f t="shared" si="4"/>
        <v>240</v>
      </c>
      <c r="M9" s="12">
        <f t="shared" si="5"/>
        <v>370</v>
      </c>
      <c r="N9" s="13">
        <f t="shared" si="0"/>
        <v>749.75</v>
      </c>
    </row>
    <row r="10" spans="1:17">
      <c r="A10" s="5" t="s">
        <v>3</v>
      </c>
      <c r="B10" s="10">
        <v>3</v>
      </c>
      <c r="C10" s="10">
        <v>4.2</v>
      </c>
      <c r="D10" s="10">
        <v>4.5</v>
      </c>
      <c r="E10" s="10">
        <v>4.5</v>
      </c>
      <c r="F10" s="10">
        <v>7.4</v>
      </c>
      <c r="G10" s="10">
        <v>10</v>
      </c>
      <c r="H10" s="11"/>
      <c r="I10" s="12">
        <f t="shared" si="1"/>
        <v>32.4</v>
      </c>
      <c r="J10" s="12">
        <f t="shared" si="2"/>
        <v>21.75</v>
      </c>
      <c r="K10" s="12">
        <f t="shared" si="3"/>
        <v>22.5</v>
      </c>
      <c r="L10" s="12">
        <f t="shared" si="4"/>
        <v>178.5</v>
      </c>
      <c r="M10" s="12">
        <f t="shared" si="5"/>
        <v>348</v>
      </c>
      <c r="N10" s="13">
        <f t="shared" si="0"/>
        <v>603.15</v>
      </c>
    </row>
    <row r="11" spans="1:17">
      <c r="A11" s="5" t="s">
        <v>4</v>
      </c>
      <c r="B11" s="10">
        <v>6.5</v>
      </c>
      <c r="C11" s="10">
        <v>7</v>
      </c>
      <c r="D11" s="10">
        <v>5</v>
      </c>
      <c r="E11" s="10">
        <v>5</v>
      </c>
      <c r="F11" s="10">
        <v>5</v>
      </c>
      <c r="G11" s="10">
        <v>5</v>
      </c>
      <c r="H11" s="11"/>
      <c r="I11" s="12">
        <f t="shared" si="1"/>
        <v>60.75</v>
      </c>
      <c r="J11" s="12">
        <f t="shared" si="2"/>
        <v>30</v>
      </c>
      <c r="K11" s="12">
        <f t="shared" si="3"/>
        <v>25</v>
      </c>
      <c r="L11" s="12">
        <f t="shared" si="4"/>
        <v>150</v>
      </c>
      <c r="M11" s="12">
        <f t="shared" si="5"/>
        <v>200</v>
      </c>
      <c r="N11" s="13">
        <f t="shared" si="0"/>
        <v>465.75</v>
      </c>
    </row>
    <row r="12" spans="1:17">
      <c r="A12" s="5" t="s">
        <v>5</v>
      </c>
      <c r="B12" s="10">
        <v>5</v>
      </c>
      <c r="C12" s="10">
        <v>4.5</v>
      </c>
      <c r="D12" s="10">
        <v>4</v>
      </c>
      <c r="E12" s="10">
        <v>3</v>
      </c>
      <c r="F12" s="10">
        <v>3</v>
      </c>
      <c r="G12" s="10">
        <v>3</v>
      </c>
      <c r="H12" s="11"/>
      <c r="I12" s="12">
        <f t="shared" si="1"/>
        <v>42.75</v>
      </c>
      <c r="J12" s="12">
        <f t="shared" si="2"/>
        <v>21.25</v>
      </c>
      <c r="K12" s="12">
        <f t="shared" si="3"/>
        <v>17.5</v>
      </c>
      <c r="L12" s="12">
        <f t="shared" si="4"/>
        <v>90</v>
      </c>
      <c r="M12" s="12">
        <f t="shared" si="5"/>
        <v>120</v>
      </c>
      <c r="N12" s="13">
        <f t="shared" si="0"/>
        <v>291.5</v>
      </c>
    </row>
    <row r="13" spans="1:17" s="1" customFormat="1">
      <c r="A13" s="5" t="s">
        <v>11</v>
      </c>
      <c r="B13" s="14">
        <f t="shared" ref="B13:G13" si="6">SUM(B7:B12)</f>
        <v>51.1</v>
      </c>
      <c r="C13" s="14">
        <f t="shared" si="6"/>
        <v>58.300000000000004</v>
      </c>
      <c r="D13" s="14">
        <f t="shared" si="6"/>
        <v>56.7</v>
      </c>
      <c r="E13" s="14">
        <f t="shared" si="6"/>
        <v>57.5</v>
      </c>
      <c r="F13" s="14">
        <f t="shared" si="6"/>
        <v>74.400000000000006</v>
      </c>
      <c r="G13" s="14">
        <f t="shared" si="6"/>
        <v>83.8</v>
      </c>
      <c r="H13" s="14"/>
      <c r="I13" s="13">
        <f>SUM(I7:I12)</f>
        <v>492.29999999999995</v>
      </c>
      <c r="J13" s="13">
        <f>SUM(J7:J12)</f>
        <v>287.5</v>
      </c>
      <c r="K13" s="13">
        <f>SUM(K7:K12)</f>
        <v>285.5</v>
      </c>
      <c r="L13" s="13">
        <f>SUM(L7:L12)</f>
        <v>1978.5</v>
      </c>
      <c r="M13" s="13">
        <f>SUM(M7:M12)</f>
        <v>3164</v>
      </c>
      <c r="N13" s="13">
        <f>SUM(I13:M13)</f>
        <v>6207.8</v>
      </c>
      <c r="P13" s="75">
        <f>I13+J13</f>
        <v>779.8</v>
      </c>
      <c r="Q13" s="75">
        <f>P13+K13</f>
        <v>1065.3</v>
      </c>
    </row>
    <row r="14" spans="1:17">
      <c r="A14" s="15"/>
      <c r="B14" s="15"/>
      <c r="C14" s="15"/>
      <c r="D14" s="15"/>
      <c r="E14" s="15"/>
      <c r="F14" s="15"/>
      <c r="G14" s="15"/>
      <c r="H14" s="15"/>
      <c r="I14" s="15"/>
      <c r="J14" s="15"/>
      <c r="K14" s="15"/>
      <c r="L14" s="15"/>
      <c r="M14" s="15"/>
      <c r="N14" s="15"/>
    </row>
    <row r="15" spans="1:17">
      <c r="A15" s="15"/>
      <c r="B15" s="15"/>
      <c r="C15" s="15"/>
      <c r="D15" s="15"/>
      <c r="E15" s="15"/>
      <c r="F15" s="15"/>
      <c r="G15" s="15"/>
      <c r="H15" s="15"/>
      <c r="I15" s="15"/>
      <c r="J15" s="15"/>
      <c r="K15" s="15"/>
      <c r="L15" s="15"/>
      <c r="M15" s="15"/>
      <c r="N15" s="15"/>
    </row>
    <row r="16" spans="1:17" s="1" customFormat="1">
      <c r="A16" s="194" t="s">
        <v>8</v>
      </c>
      <c r="B16" s="194"/>
      <c r="C16" s="194"/>
      <c r="D16" s="194"/>
      <c r="E16" s="194"/>
      <c r="F16" s="194"/>
      <c r="G16" s="194"/>
      <c r="H16" s="194"/>
      <c r="I16" s="194"/>
      <c r="J16" s="194"/>
      <c r="K16" s="194"/>
      <c r="L16" s="194"/>
      <c r="M16" s="194"/>
      <c r="N16" s="194"/>
    </row>
    <row r="17" spans="1:17" s="1" customFormat="1">
      <c r="A17" s="5"/>
      <c r="B17" s="198" t="s">
        <v>12</v>
      </c>
      <c r="C17" s="199"/>
      <c r="D17" s="199"/>
      <c r="E17" s="199"/>
      <c r="F17" s="199"/>
      <c r="G17" s="200"/>
      <c r="H17" s="9"/>
      <c r="I17" s="198" t="s">
        <v>13</v>
      </c>
      <c r="J17" s="199"/>
      <c r="K17" s="199"/>
      <c r="L17" s="199"/>
      <c r="M17" s="199"/>
      <c r="N17" s="201"/>
    </row>
    <row r="18" spans="1:17" s="1" customFormat="1">
      <c r="A18" s="5"/>
      <c r="B18" s="5">
        <v>2011</v>
      </c>
      <c r="C18" s="5">
        <v>2020</v>
      </c>
      <c r="D18" s="5">
        <v>2025</v>
      </c>
      <c r="E18" s="5">
        <v>2030</v>
      </c>
      <c r="F18" s="5">
        <v>2060</v>
      </c>
      <c r="G18" s="5">
        <v>2100</v>
      </c>
      <c r="H18" s="5"/>
      <c r="I18" s="5" t="s">
        <v>6</v>
      </c>
      <c r="J18" s="5" t="s">
        <v>101</v>
      </c>
      <c r="K18" s="5" t="s">
        <v>102</v>
      </c>
      <c r="L18" s="5" t="s">
        <v>103</v>
      </c>
      <c r="M18" s="5" t="s">
        <v>104</v>
      </c>
      <c r="N18" s="5" t="s">
        <v>11</v>
      </c>
    </row>
    <row r="19" spans="1:17" s="1" customFormat="1">
      <c r="A19" s="5" t="s">
        <v>2</v>
      </c>
      <c r="B19" s="10">
        <v>17.100000000000001</v>
      </c>
      <c r="C19" s="10">
        <v>18</v>
      </c>
      <c r="D19" s="10">
        <v>18</v>
      </c>
      <c r="E19" s="10">
        <v>18.7</v>
      </c>
      <c r="F19" s="10">
        <v>10.5</v>
      </c>
      <c r="G19" s="10">
        <v>2.6</v>
      </c>
      <c r="H19" s="11"/>
      <c r="I19" s="12">
        <f t="shared" ref="I19:I24" si="7">9*(B19+(C19-B19)/2)</f>
        <v>157.95000000000002</v>
      </c>
      <c r="J19" s="12">
        <f>5*(C19+(D19-C19)/2)</f>
        <v>90</v>
      </c>
      <c r="K19" s="12">
        <f>5*(D19+(E19-D19)/2)</f>
        <v>91.75</v>
      </c>
      <c r="L19" s="12">
        <f>30*(E19+(F19-E19)/2)</f>
        <v>438</v>
      </c>
      <c r="M19" s="12">
        <f>40*(F19+(G19-F19)/2)</f>
        <v>262</v>
      </c>
      <c r="N19" s="13">
        <f t="shared" ref="N19:N24" si="8">SUM(I19:M19)</f>
        <v>1039.7</v>
      </c>
    </row>
    <row r="20" spans="1:17" s="1" customFormat="1">
      <c r="A20" s="5" t="s">
        <v>0</v>
      </c>
      <c r="B20" s="10">
        <v>12</v>
      </c>
      <c r="C20" s="10">
        <v>16</v>
      </c>
      <c r="D20" s="10">
        <v>17</v>
      </c>
      <c r="E20" s="10">
        <v>17.5</v>
      </c>
      <c r="F20" s="10">
        <v>7.5</v>
      </c>
      <c r="G20" s="10">
        <v>2</v>
      </c>
      <c r="H20" s="11"/>
      <c r="I20" s="12">
        <f t="shared" si="7"/>
        <v>126</v>
      </c>
      <c r="J20" s="12">
        <f t="shared" ref="J20:J24" si="9">5*(C20+(D20-C20)/2)</f>
        <v>82.5</v>
      </c>
      <c r="K20" s="12">
        <f t="shared" ref="K20:K24" si="10">5*(D20+(E20-D20)/2)</f>
        <v>86.25</v>
      </c>
      <c r="L20" s="12">
        <f t="shared" ref="L20:L24" si="11">30*(E20+(F20-E20)/2)</f>
        <v>375</v>
      </c>
      <c r="M20" s="12">
        <f t="shared" ref="M20:M24" si="12">40*(F20+(G20-F20)/2)</f>
        <v>190</v>
      </c>
      <c r="N20" s="13">
        <f t="shared" si="8"/>
        <v>859.75</v>
      </c>
    </row>
    <row r="21" spans="1:17" s="1" customFormat="1">
      <c r="A21" s="5" t="s">
        <v>1</v>
      </c>
      <c r="B21" s="10">
        <v>7.5</v>
      </c>
      <c r="C21" s="10">
        <v>8.1999999999999993</v>
      </c>
      <c r="D21" s="10">
        <v>7.9</v>
      </c>
      <c r="E21" s="10">
        <v>7.5</v>
      </c>
      <c r="F21" s="10">
        <v>3</v>
      </c>
      <c r="G21" s="10">
        <v>1</v>
      </c>
      <c r="H21" s="11"/>
      <c r="I21" s="12">
        <f t="shared" si="7"/>
        <v>70.649999999999991</v>
      </c>
      <c r="J21" s="12">
        <f t="shared" si="9"/>
        <v>40.25</v>
      </c>
      <c r="K21" s="12">
        <f t="shared" si="10"/>
        <v>38.5</v>
      </c>
      <c r="L21" s="12">
        <f t="shared" si="11"/>
        <v>157.5</v>
      </c>
      <c r="M21" s="12">
        <f t="shared" si="12"/>
        <v>80</v>
      </c>
      <c r="N21" s="13">
        <f t="shared" si="8"/>
        <v>386.9</v>
      </c>
    </row>
    <row r="22" spans="1:17" s="1" customFormat="1">
      <c r="A22" s="5" t="s">
        <v>3</v>
      </c>
      <c r="B22" s="10">
        <v>3</v>
      </c>
      <c r="C22" s="10">
        <v>4</v>
      </c>
      <c r="D22" s="10">
        <v>3.7</v>
      </c>
      <c r="E22" s="10">
        <v>3.5</v>
      </c>
      <c r="F22" s="10">
        <v>1.3</v>
      </c>
      <c r="G22" s="10">
        <v>0.5</v>
      </c>
      <c r="H22" s="11"/>
      <c r="I22" s="12">
        <f t="shared" si="7"/>
        <v>31.5</v>
      </c>
      <c r="J22" s="12">
        <f t="shared" si="9"/>
        <v>19.25</v>
      </c>
      <c r="K22" s="12">
        <f t="shared" si="10"/>
        <v>18</v>
      </c>
      <c r="L22" s="12">
        <f t="shared" si="11"/>
        <v>72</v>
      </c>
      <c r="M22" s="12">
        <f t="shared" si="12"/>
        <v>36</v>
      </c>
      <c r="N22" s="13">
        <f t="shared" si="8"/>
        <v>176.75</v>
      </c>
    </row>
    <row r="23" spans="1:17" s="1" customFormat="1">
      <c r="A23" s="5" t="s">
        <v>4</v>
      </c>
      <c r="B23" s="10">
        <v>6.5</v>
      </c>
      <c r="C23" s="10">
        <v>7.2</v>
      </c>
      <c r="D23" s="10">
        <v>5.5</v>
      </c>
      <c r="E23" s="10">
        <v>5</v>
      </c>
      <c r="F23" s="10">
        <v>3</v>
      </c>
      <c r="G23" s="10">
        <v>0.9</v>
      </c>
      <c r="H23" s="11"/>
      <c r="I23" s="12">
        <f t="shared" si="7"/>
        <v>61.65</v>
      </c>
      <c r="J23" s="12">
        <f t="shared" si="9"/>
        <v>31.75</v>
      </c>
      <c r="K23" s="12">
        <f t="shared" si="10"/>
        <v>26.25</v>
      </c>
      <c r="L23" s="12">
        <f t="shared" si="11"/>
        <v>120</v>
      </c>
      <c r="M23" s="12">
        <f t="shared" si="12"/>
        <v>78</v>
      </c>
      <c r="N23" s="13">
        <f t="shared" si="8"/>
        <v>317.64999999999998</v>
      </c>
    </row>
    <row r="24" spans="1:17" s="1" customFormat="1">
      <c r="A24" s="5" t="s">
        <v>5</v>
      </c>
      <c r="B24" s="10">
        <v>5</v>
      </c>
      <c r="C24" s="10"/>
      <c r="D24" s="10">
        <v>4.0999999999999996</v>
      </c>
      <c r="E24" s="10">
        <v>3.5</v>
      </c>
      <c r="F24" s="10">
        <v>1.3</v>
      </c>
      <c r="G24" s="10">
        <v>0.5</v>
      </c>
      <c r="H24" s="11"/>
      <c r="I24" s="12">
        <f t="shared" si="7"/>
        <v>22.5</v>
      </c>
      <c r="J24" s="12">
        <f t="shared" si="9"/>
        <v>10.25</v>
      </c>
      <c r="K24" s="12">
        <f t="shared" si="10"/>
        <v>19</v>
      </c>
      <c r="L24" s="12">
        <f t="shared" si="11"/>
        <v>72</v>
      </c>
      <c r="M24" s="12">
        <f t="shared" si="12"/>
        <v>36</v>
      </c>
      <c r="N24" s="13">
        <f t="shared" si="8"/>
        <v>159.75</v>
      </c>
    </row>
    <row r="25" spans="1:17" s="1" customFormat="1">
      <c r="A25" s="5" t="s">
        <v>11</v>
      </c>
      <c r="B25" s="16">
        <f t="shared" ref="B25" si="13">SUM(B19:B24)</f>
        <v>51.1</v>
      </c>
      <c r="C25" s="16">
        <f t="shared" ref="C25" si="14">SUM(C19:C24)</f>
        <v>53.400000000000006</v>
      </c>
      <c r="D25" s="16">
        <f t="shared" ref="D25" si="15">SUM(D19:D24)</f>
        <v>56.2</v>
      </c>
      <c r="E25" s="16">
        <f t="shared" ref="E25" si="16">SUM(E19:E24)</f>
        <v>55.7</v>
      </c>
      <c r="F25" s="16">
        <f t="shared" ref="F25" si="17">SUM(F19:F24)</f>
        <v>26.6</v>
      </c>
      <c r="G25" s="16">
        <f t="shared" ref="G25" si="18">SUM(G19:G24)</f>
        <v>7.5</v>
      </c>
      <c r="H25" s="14"/>
      <c r="I25" s="13">
        <f>SUM(I19:I24)</f>
        <v>470.25</v>
      </c>
      <c r="J25" s="13">
        <f>SUM(J19:J24)</f>
        <v>274</v>
      </c>
      <c r="K25" s="13">
        <f>SUM(K19:K24)</f>
        <v>279.75</v>
      </c>
      <c r="L25" s="13">
        <f>SUM(L19:L24)</f>
        <v>1234.5</v>
      </c>
      <c r="M25" s="13">
        <f>SUM(M19:M24)</f>
        <v>682</v>
      </c>
      <c r="N25" s="13">
        <f>SUM(I25:M25)</f>
        <v>2940.5</v>
      </c>
      <c r="P25" s="75">
        <f>I25+J25</f>
        <v>744.25</v>
      </c>
      <c r="Q25" s="75">
        <f>P25+K25</f>
        <v>1024</v>
      </c>
    </row>
    <row r="26" spans="1:17" s="1" customFormat="1">
      <c r="L26" s="2"/>
      <c r="M26" s="2"/>
      <c r="N26" s="2"/>
    </row>
    <row r="27" spans="1:17" s="1" customFormat="1">
      <c r="D27" s="3"/>
      <c r="E27" s="3"/>
      <c r="K27" s="2"/>
    </row>
    <row r="28" spans="1:17" s="1" customFormat="1"/>
    <row r="29" spans="1:17" s="1" customFormat="1">
      <c r="B29" s="4"/>
      <c r="C29" s="4"/>
      <c r="D29" s="4"/>
      <c r="E29" s="4"/>
      <c r="F29" s="4"/>
      <c r="G29" s="4"/>
      <c r="H29" s="4"/>
      <c r="I29" s="4"/>
      <c r="J29" s="4"/>
      <c r="K29" s="4"/>
      <c r="L29" s="4"/>
      <c r="M29" s="4"/>
      <c r="N29" s="4"/>
    </row>
  </sheetData>
  <mergeCells count="7">
    <mergeCell ref="A3:N3"/>
    <mergeCell ref="A16:N16"/>
    <mergeCell ref="A4:N4"/>
    <mergeCell ref="B5:G5"/>
    <mergeCell ref="B17:G17"/>
    <mergeCell ref="I5:N5"/>
    <mergeCell ref="I17:N17"/>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CS9"/>
  <sheetViews>
    <sheetView workbookViewId="0">
      <selection activeCell="C16" sqref="C16"/>
    </sheetView>
  </sheetViews>
  <sheetFormatPr defaultRowHeight="15"/>
  <cols>
    <col min="1" max="1" width="30.28515625" customWidth="1"/>
    <col min="3" max="3" width="10.140625" style="1" customWidth="1"/>
    <col min="4" max="4" width="10.85546875" style="1" customWidth="1"/>
    <col min="5" max="5" width="10" customWidth="1"/>
  </cols>
  <sheetData>
    <row r="1" spans="1:97">
      <c r="A1" s="33" t="s">
        <v>51</v>
      </c>
    </row>
    <row r="2" spans="1:97">
      <c r="A2" t="s">
        <v>30</v>
      </c>
    </row>
    <row r="3" spans="1:97" ht="33.75" customHeight="1">
      <c r="C3" s="24" t="s">
        <v>179</v>
      </c>
      <c r="D3" s="24" t="s">
        <v>180</v>
      </c>
      <c r="E3" s="24" t="s">
        <v>48</v>
      </c>
      <c r="G3" s="21">
        <v>2010</v>
      </c>
      <c r="H3" s="21">
        <v>2011</v>
      </c>
      <c r="I3" s="21">
        <v>2012</v>
      </c>
      <c r="J3" s="21">
        <v>2013</v>
      </c>
      <c r="K3" s="21">
        <v>2014</v>
      </c>
      <c r="L3" s="21">
        <v>2015</v>
      </c>
      <c r="M3" s="21">
        <v>2016</v>
      </c>
      <c r="N3" s="21">
        <v>2017</v>
      </c>
      <c r="O3" s="21">
        <v>2018</v>
      </c>
      <c r="P3" s="21">
        <v>2019</v>
      </c>
      <c r="Q3" s="21">
        <v>2020</v>
      </c>
      <c r="R3" s="21">
        <v>2021</v>
      </c>
      <c r="S3" s="21">
        <v>2022</v>
      </c>
      <c r="T3" s="21">
        <v>2023</v>
      </c>
      <c r="U3" s="21">
        <v>2024</v>
      </c>
      <c r="V3" s="21">
        <v>2025</v>
      </c>
      <c r="W3" s="21">
        <v>2026</v>
      </c>
      <c r="X3" s="21">
        <v>2027</v>
      </c>
      <c r="Y3" s="21">
        <v>2028</v>
      </c>
      <c r="Z3" s="21">
        <v>2029</v>
      </c>
      <c r="AA3" s="21">
        <v>2030</v>
      </c>
      <c r="AB3" s="21">
        <v>2031</v>
      </c>
      <c r="AC3" s="21">
        <v>2032</v>
      </c>
      <c r="AD3" s="21">
        <v>2033</v>
      </c>
      <c r="AE3" s="21">
        <v>2034</v>
      </c>
      <c r="AF3" s="21">
        <v>2035</v>
      </c>
      <c r="AG3" s="21">
        <v>2036</v>
      </c>
      <c r="AH3" s="21">
        <v>2037</v>
      </c>
      <c r="AI3" s="21">
        <v>2038</v>
      </c>
      <c r="AJ3" s="21">
        <v>2039</v>
      </c>
      <c r="AK3" s="21">
        <v>2040</v>
      </c>
      <c r="AL3" s="21">
        <v>2041</v>
      </c>
      <c r="AM3" s="21">
        <v>2042</v>
      </c>
      <c r="AN3" s="21">
        <v>2043</v>
      </c>
      <c r="AO3" s="21">
        <v>2044</v>
      </c>
      <c r="AP3" s="21">
        <v>2045</v>
      </c>
      <c r="AQ3" s="21">
        <v>2046</v>
      </c>
      <c r="AR3" s="21">
        <v>2047</v>
      </c>
      <c r="AS3" s="21">
        <v>2048</v>
      </c>
      <c r="AT3" s="21">
        <v>2049</v>
      </c>
      <c r="AU3" s="21">
        <v>2050</v>
      </c>
      <c r="AV3" s="21">
        <v>2051</v>
      </c>
      <c r="AW3" s="21">
        <v>2052</v>
      </c>
      <c r="AX3" s="21">
        <v>2053</v>
      </c>
      <c r="AY3" s="21">
        <v>2054</v>
      </c>
      <c r="AZ3" s="21">
        <v>2055</v>
      </c>
      <c r="BA3" s="21">
        <v>2056</v>
      </c>
      <c r="BB3" s="21">
        <v>2057</v>
      </c>
      <c r="BC3" s="21">
        <v>2058</v>
      </c>
      <c r="BD3" s="21">
        <v>2059</v>
      </c>
      <c r="BE3" s="21">
        <v>2060</v>
      </c>
      <c r="BF3" s="21">
        <v>2061</v>
      </c>
      <c r="BG3" s="21">
        <v>2062</v>
      </c>
      <c r="BH3" s="21">
        <v>2063</v>
      </c>
      <c r="BI3" s="21">
        <v>2064</v>
      </c>
      <c r="BJ3" s="21">
        <v>2065</v>
      </c>
      <c r="BK3" s="21">
        <v>2066</v>
      </c>
      <c r="BL3" s="21">
        <v>2067</v>
      </c>
      <c r="BM3" s="21">
        <v>2068</v>
      </c>
      <c r="BN3" s="21">
        <v>2069</v>
      </c>
      <c r="BO3" s="21">
        <v>2070</v>
      </c>
      <c r="BP3" s="21">
        <v>2071</v>
      </c>
      <c r="BQ3" s="21">
        <v>2072</v>
      </c>
      <c r="BR3" s="21">
        <v>2073</v>
      </c>
      <c r="BS3" s="21">
        <v>2074</v>
      </c>
      <c r="BT3" s="21">
        <v>2075</v>
      </c>
      <c r="BU3" s="21">
        <v>2076</v>
      </c>
      <c r="BV3" s="21">
        <v>2077</v>
      </c>
      <c r="BW3" s="21">
        <v>2078</v>
      </c>
      <c r="BX3" s="21">
        <v>2079</v>
      </c>
      <c r="BY3" s="21">
        <v>2080</v>
      </c>
      <c r="BZ3" s="21">
        <v>2081</v>
      </c>
      <c r="CA3" s="21">
        <v>2082</v>
      </c>
      <c r="CB3" s="21">
        <v>2083</v>
      </c>
      <c r="CC3" s="21">
        <v>2084</v>
      </c>
      <c r="CD3" s="21">
        <v>2085</v>
      </c>
      <c r="CE3" s="21">
        <v>2086</v>
      </c>
      <c r="CF3" s="21">
        <v>2087</v>
      </c>
      <c r="CG3" s="21">
        <v>2088</v>
      </c>
      <c r="CH3" s="21">
        <v>2089</v>
      </c>
      <c r="CI3" s="21">
        <v>2090</v>
      </c>
      <c r="CJ3" s="21">
        <v>2091</v>
      </c>
      <c r="CK3" s="21">
        <v>2092</v>
      </c>
      <c r="CL3" s="21">
        <v>2093</v>
      </c>
      <c r="CM3" s="21">
        <v>2094</v>
      </c>
      <c r="CN3" s="21">
        <v>2095</v>
      </c>
      <c r="CO3" s="21">
        <v>2096</v>
      </c>
      <c r="CP3" s="21">
        <v>2097</v>
      </c>
      <c r="CQ3" s="21">
        <v>2098</v>
      </c>
      <c r="CR3" s="21">
        <v>2099</v>
      </c>
      <c r="CS3" s="21">
        <v>2100</v>
      </c>
    </row>
    <row r="4" spans="1:97" ht="15" customHeight="1">
      <c r="A4" s="23" t="s">
        <v>24</v>
      </c>
      <c r="C4" s="26">
        <f>SUM(I4:V4)</f>
        <v>854.42610000000002</v>
      </c>
      <c r="D4" s="26">
        <f>SUM(I4:AA4)</f>
        <v>1210.4584</v>
      </c>
      <c r="E4" s="26">
        <f>SUM(I4:CS4)</f>
        <v>9333.0977999999977</v>
      </c>
      <c r="G4" s="22">
        <v>50.712200000000003</v>
      </c>
      <c r="H4" s="22">
        <v>52.107199999999999</v>
      </c>
      <c r="I4" s="22">
        <v>53.209400000000002</v>
      </c>
      <c r="J4" s="22">
        <v>54.185899999999997</v>
      </c>
      <c r="K4" s="22">
        <v>55.671300000000002</v>
      </c>
      <c r="L4" s="22">
        <v>57.156599999999997</v>
      </c>
      <c r="M4" s="22">
        <v>58.341700000000003</v>
      </c>
      <c r="N4" s="22">
        <v>59.526800000000001</v>
      </c>
      <c r="O4" s="22">
        <v>60.7119</v>
      </c>
      <c r="P4" s="22">
        <v>61.896999999999998</v>
      </c>
      <c r="Q4" s="22">
        <v>63.082000000000001</v>
      </c>
      <c r="R4" s="22">
        <v>64.0976</v>
      </c>
      <c r="S4" s="22">
        <v>65.113100000000003</v>
      </c>
      <c r="T4" s="22">
        <v>66.128699999999995</v>
      </c>
      <c r="U4" s="22">
        <v>67.144199999999998</v>
      </c>
      <c r="V4" s="22">
        <v>68.159899999999993</v>
      </c>
      <c r="W4" s="22">
        <v>69.175299999999993</v>
      </c>
      <c r="X4" s="22">
        <v>70.190899999999999</v>
      </c>
      <c r="Y4" s="22">
        <v>71.206500000000005</v>
      </c>
      <c r="Z4" s="22">
        <v>72.221999999999994</v>
      </c>
      <c r="AA4" s="22">
        <v>73.2376</v>
      </c>
      <c r="AB4" s="22">
        <v>74.610600000000005</v>
      </c>
      <c r="AC4" s="22">
        <v>75.983900000000006</v>
      </c>
      <c r="AD4" s="22">
        <v>77.356899999999996</v>
      </c>
      <c r="AE4" s="22">
        <v>78.73</v>
      </c>
      <c r="AF4" s="22">
        <v>80.103200000000001</v>
      </c>
      <c r="AG4" s="22">
        <v>81.476200000000006</v>
      </c>
      <c r="AH4" s="22">
        <v>82.849299999999999</v>
      </c>
      <c r="AI4" s="22">
        <v>84.222399999999993</v>
      </c>
      <c r="AJ4" s="22">
        <v>85.595500000000001</v>
      </c>
      <c r="AK4" s="22">
        <v>86.968699999999998</v>
      </c>
      <c r="AL4" s="22">
        <v>88.497100000000003</v>
      </c>
      <c r="AM4" s="22">
        <v>90.025700000000001</v>
      </c>
      <c r="AN4" s="22">
        <v>91.554299999999998</v>
      </c>
      <c r="AO4" s="22">
        <v>93.082700000000003</v>
      </c>
      <c r="AP4" s="22">
        <v>94.611199999999997</v>
      </c>
      <c r="AQ4" s="22">
        <v>96.139700000000005</v>
      </c>
      <c r="AR4" s="22">
        <v>97.668199999999999</v>
      </c>
      <c r="AS4" s="22">
        <v>99.196799999999996</v>
      </c>
      <c r="AT4" s="22">
        <v>100.72499999999999</v>
      </c>
      <c r="AU4" s="22">
        <v>102.254</v>
      </c>
      <c r="AV4" s="22">
        <v>103.702</v>
      </c>
      <c r="AW4" s="22">
        <v>105.15</v>
      </c>
      <c r="AX4" s="22">
        <v>106.59699999999999</v>
      </c>
      <c r="AY4" s="22">
        <v>108.045</v>
      </c>
      <c r="AZ4" s="22">
        <v>109.49299999999999</v>
      </c>
      <c r="BA4" s="22">
        <v>110.941</v>
      </c>
      <c r="BB4" s="22">
        <v>112.389</v>
      </c>
      <c r="BC4" s="22">
        <v>113.837</v>
      </c>
      <c r="BD4" s="22">
        <v>115.285</v>
      </c>
      <c r="BE4" s="22">
        <v>116.732</v>
      </c>
      <c r="BF4" s="22">
        <v>117.696</v>
      </c>
      <c r="BG4" s="22">
        <v>118.66</v>
      </c>
      <c r="BH4" s="22">
        <v>119.624</v>
      </c>
      <c r="BI4" s="22">
        <v>120.58799999999999</v>
      </c>
      <c r="BJ4" s="22">
        <v>121.55200000000001</v>
      </c>
      <c r="BK4" s="22">
        <v>122.51600000000001</v>
      </c>
      <c r="BL4" s="22">
        <v>123.48</v>
      </c>
      <c r="BM4" s="22">
        <v>124.443</v>
      </c>
      <c r="BN4" s="22">
        <v>125.407</v>
      </c>
      <c r="BO4" s="22">
        <v>126.371</v>
      </c>
      <c r="BP4" s="22">
        <v>127.014</v>
      </c>
      <c r="BQ4" s="22">
        <v>127.65600000000001</v>
      </c>
      <c r="BR4" s="22">
        <v>128.29900000000001</v>
      </c>
      <c r="BS4" s="22">
        <v>128.941</v>
      </c>
      <c r="BT4" s="22">
        <v>129.584</v>
      </c>
      <c r="BU4" s="22">
        <v>130.226</v>
      </c>
      <c r="BV4" s="22">
        <v>130.86799999999999</v>
      </c>
      <c r="BW4" s="22">
        <v>131.511</v>
      </c>
      <c r="BX4" s="22">
        <v>132.15299999999999</v>
      </c>
      <c r="BY4" s="22">
        <v>132.79599999999999</v>
      </c>
      <c r="BZ4" s="22">
        <v>133.27099999999999</v>
      </c>
      <c r="CA4" s="22">
        <v>133.74600000000001</v>
      </c>
      <c r="CB4" s="22">
        <v>134.221</v>
      </c>
      <c r="CC4" s="22">
        <v>134.696</v>
      </c>
      <c r="CD4" s="22">
        <v>135.17099999999999</v>
      </c>
      <c r="CE4" s="22">
        <v>135.64699999999999</v>
      </c>
      <c r="CF4" s="22">
        <v>136.12200000000001</v>
      </c>
      <c r="CG4" s="22">
        <v>136.59700000000001</v>
      </c>
      <c r="CH4" s="22">
        <v>137.072</v>
      </c>
      <c r="CI4" s="22">
        <v>137.547</v>
      </c>
      <c r="CJ4" s="22">
        <v>137.727</v>
      </c>
      <c r="CK4" s="22">
        <v>137.90600000000001</v>
      </c>
      <c r="CL4" s="22">
        <v>138.08600000000001</v>
      </c>
      <c r="CM4" s="22">
        <v>138.26499999999999</v>
      </c>
      <c r="CN4" s="22">
        <v>138.44399999999999</v>
      </c>
      <c r="CO4" s="22">
        <v>138.624</v>
      </c>
      <c r="CP4" s="22">
        <v>138.803</v>
      </c>
      <c r="CQ4" s="22">
        <v>138.983</v>
      </c>
      <c r="CR4" s="22">
        <v>139.16200000000001</v>
      </c>
      <c r="CS4" s="22">
        <v>139.34200000000001</v>
      </c>
    </row>
    <row r="5" spans="1:97" ht="15" customHeight="1">
      <c r="A5" s="23" t="s">
        <v>25</v>
      </c>
      <c r="C5" s="26">
        <f t="shared" ref="C5:C9" si="0">SUM(I5:V5)</f>
        <v>801.5258</v>
      </c>
      <c r="D5" s="26">
        <f t="shared" ref="D5:D9" si="1">SUM(I5:AA5)</f>
        <v>1088.9455000000003</v>
      </c>
      <c r="E5" s="26">
        <f t="shared" ref="E5:E9" si="2">SUM(I5:CS5)</f>
        <v>6230.2213999999994</v>
      </c>
      <c r="G5" s="22">
        <v>50.712200000000003</v>
      </c>
      <c r="H5" s="22">
        <v>52.107199999999999</v>
      </c>
      <c r="I5" s="22">
        <v>53.209400000000002</v>
      </c>
      <c r="J5" s="22">
        <v>54.185899999999997</v>
      </c>
      <c r="K5" s="22">
        <v>55.671300000000002</v>
      </c>
      <c r="L5" s="22">
        <v>57.156599999999997</v>
      </c>
      <c r="M5" s="22">
        <v>57.581299999999999</v>
      </c>
      <c r="N5" s="22">
        <v>57.979100000000003</v>
      </c>
      <c r="O5" s="22">
        <v>58.352400000000003</v>
      </c>
      <c r="P5" s="22">
        <v>58.700299999999999</v>
      </c>
      <c r="Q5" s="22">
        <v>59.021900000000002</v>
      </c>
      <c r="R5" s="22">
        <v>58.654000000000003</v>
      </c>
      <c r="S5" s="22">
        <v>58.292999999999999</v>
      </c>
      <c r="T5" s="22">
        <v>57.934199999999997</v>
      </c>
      <c r="U5" s="22">
        <v>57.5747</v>
      </c>
      <c r="V5" s="22">
        <v>57.2117</v>
      </c>
      <c r="W5" s="22">
        <v>57.327399999999997</v>
      </c>
      <c r="X5" s="22">
        <v>57.425699999999999</v>
      </c>
      <c r="Y5" s="22">
        <v>57.504399999999997</v>
      </c>
      <c r="Z5" s="22">
        <v>57.563000000000002</v>
      </c>
      <c r="AA5" s="22">
        <v>57.599200000000003</v>
      </c>
      <c r="AB5" s="22">
        <v>58.030099999999997</v>
      </c>
      <c r="AC5" s="22">
        <v>58.470999999999997</v>
      </c>
      <c r="AD5" s="22">
        <v>58.921300000000002</v>
      </c>
      <c r="AE5" s="22">
        <v>59.381</v>
      </c>
      <c r="AF5" s="22">
        <v>59.850099999999998</v>
      </c>
      <c r="AG5" s="22">
        <v>60.303400000000003</v>
      </c>
      <c r="AH5" s="22">
        <v>60.764200000000002</v>
      </c>
      <c r="AI5" s="22">
        <v>61.232799999999997</v>
      </c>
      <c r="AJ5" s="22">
        <v>61.709000000000003</v>
      </c>
      <c r="AK5" s="22">
        <v>62.192999999999998</v>
      </c>
      <c r="AL5" s="22">
        <v>62.732599999999998</v>
      </c>
      <c r="AM5" s="22">
        <v>63.279899999999998</v>
      </c>
      <c r="AN5" s="22">
        <v>63.835000000000001</v>
      </c>
      <c r="AO5" s="22">
        <v>64.397999999999996</v>
      </c>
      <c r="AP5" s="22">
        <v>64.968800000000002</v>
      </c>
      <c r="AQ5" s="22">
        <v>65.526300000000006</v>
      </c>
      <c r="AR5" s="22">
        <v>66.090199999999996</v>
      </c>
      <c r="AS5" s="22">
        <v>66.660200000000003</v>
      </c>
      <c r="AT5" s="22">
        <v>67.236000000000004</v>
      </c>
      <c r="AU5" s="22">
        <v>67.817599999999999</v>
      </c>
      <c r="AV5" s="22">
        <v>68.377300000000005</v>
      </c>
      <c r="AW5" s="22">
        <v>68.940799999999996</v>
      </c>
      <c r="AX5" s="22">
        <v>69.509100000000004</v>
      </c>
      <c r="AY5" s="22">
        <v>70.081999999999994</v>
      </c>
      <c r="AZ5" s="22">
        <v>70.659300000000002</v>
      </c>
      <c r="BA5" s="22">
        <v>71.226900000000001</v>
      </c>
      <c r="BB5" s="22">
        <v>71.797200000000004</v>
      </c>
      <c r="BC5" s="22">
        <v>72.372100000000003</v>
      </c>
      <c r="BD5" s="22">
        <v>72.949100000000001</v>
      </c>
      <c r="BE5" s="22">
        <v>73.528099999999995</v>
      </c>
      <c r="BF5" s="22">
        <v>73.872</v>
      </c>
      <c r="BG5" s="22">
        <v>74.210999999999999</v>
      </c>
      <c r="BH5" s="22">
        <v>74.5471</v>
      </c>
      <c r="BI5" s="22">
        <v>74.8797</v>
      </c>
      <c r="BJ5" s="22">
        <v>75.208600000000004</v>
      </c>
      <c r="BK5" s="22">
        <v>75.551000000000002</v>
      </c>
      <c r="BL5" s="22">
        <v>75.889300000000006</v>
      </c>
      <c r="BM5" s="22">
        <v>76.224299999999999</v>
      </c>
      <c r="BN5" s="22">
        <v>76.555800000000005</v>
      </c>
      <c r="BO5" s="22">
        <v>76.883499999999998</v>
      </c>
      <c r="BP5" s="22">
        <v>77.1755</v>
      </c>
      <c r="BQ5" s="22">
        <v>77.465299999999999</v>
      </c>
      <c r="BR5" s="22">
        <v>77.753100000000003</v>
      </c>
      <c r="BS5" s="22">
        <v>78.038799999999995</v>
      </c>
      <c r="BT5" s="22">
        <v>78.322400000000002</v>
      </c>
      <c r="BU5" s="22">
        <v>78.615899999999996</v>
      </c>
      <c r="BV5" s="22">
        <v>78.906300000000002</v>
      </c>
      <c r="BW5" s="22">
        <v>79.195099999999996</v>
      </c>
      <c r="BX5" s="22">
        <v>79.482699999999994</v>
      </c>
      <c r="BY5" s="22">
        <v>79.769099999999995</v>
      </c>
      <c r="BZ5" s="22">
        <v>79.991100000000003</v>
      </c>
      <c r="CA5" s="22">
        <v>80.208600000000004</v>
      </c>
      <c r="CB5" s="22">
        <v>80.423199999999994</v>
      </c>
      <c r="CC5" s="22">
        <v>80.634799999999998</v>
      </c>
      <c r="CD5" s="22">
        <v>80.843299999999999</v>
      </c>
      <c r="CE5" s="22">
        <v>81.080600000000004</v>
      </c>
      <c r="CF5" s="22">
        <v>81.314499999999995</v>
      </c>
      <c r="CG5" s="22">
        <v>81.546899999999994</v>
      </c>
      <c r="CH5" s="22">
        <v>81.777900000000002</v>
      </c>
      <c r="CI5" s="22">
        <v>82.007400000000004</v>
      </c>
      <c r="CJ5" s="22">
        <v>82.182900000000004</v>
      </c>
      <c r="CK5" s="22">
        <v>82.356399999999994</v>
      </c>
      <c r="CL5" s="22">
        <v>82.530799999999999</v>
      </c>
      <c r="CM5" s="22">
        <v>82.706199999999995</v>
      </c>
      <c r="CN5" s="22">
        <v>82.882599999999996</v>
      </c>
      <c r="CO5" s="22">
        <v>83.081100000000006</v>
      </c>
      <c r="CP5" s="22">
        <v>83.278400000000005</v>
      </c>
      <c r="CQ5" s="22">
        <v>83.477599999999995</v>
      </c>
      <c r="CR5" s="22">
        <v>83.679199999999994</v>
      </c>
      <c r="CS5" s="22">
        <v>83.883499999999998</v>
      </c>
    </row>
    <row r="6" spans="1:97" ht="15" customHeight="1">
      <c r="A6" s="23" t="s">
        <v>26</v>
      </c>
      <c r="C6" s="26">
        <f t="shared" si="0"/>
        <v>801.5258</v>
      </c>
      <c r="D6" s="26">
        <f t="shared" si="1"/>
        <v>1085.8802000000001</v>
      </c>
      <c r="E6" s="26">
        <f t="shared" si="2"/>
        <v>5635.4419999999991</v>
      </c>
      <c r="G6" s="22">
        <v>50.712200000000003</v>
      </c>
      <c r="H6" s="22">
        <v>52.107199999999999</v>
      </c>
      <c r="I6" s="22">
        <v>53.209400000000002</v>
      </c>
      <c r="J6" s="22">
        <v>54.185899999999997</v>
      </c>
      <c r="K6" s="22">
        <v>55.671300000000002</v>
      </c>
      <c r="L6" s="22">
        <v>57.156599999999997</v>
      </c>
      <c r="M6" s="22">
        <v>57.581299999999999</v>
      </c>
      <c r="N6" s="22">
        <v>57.979100000000003</v>
      </c>
      <c r="O6" s="22">
        <v>58.352400000000003</v>
      </c>
      <c r="P6" s="22">
        <v>58.700299999999999</v>
      </c>
      <c r="Q6" s="22">
        <v>59.021900000000002</v>
      </c>
      <c r="R6" s="22">
        <v>58.654000000000003</v>
      </c>
      <c r="S6" s="22">
        <v>58.292999999999999</v>
      </c>
      <c r="T6" s="22">
        <v>57.934199999999997</v>
      </c>
      <c r="U6" s="22">
        <v>57.5747</v>
      </c>
      <c r="V6" s="22">
        <v>57.2117</v>
      </c>
      <c r="W6" s="22">
        <v>57.1143</v>
      </c>
      <c r="X6" s="22">
        <v>57.006300000000003</v>
      </c>
      <c r="Y6" s="22">
        <v>56.885100000000001</v>
      </c>
      <c r="Z6" s="22">
        <v>56.75</v>
      </c>
      <c r="AA6" s="22">
        <v>56.598700000000001</v>
      </c>
      <c r="AB6" s="22">
        <v>56.691499999999998</v>
      </c>
      <c r="AC6" s="22">
        <v>56.803699999999999</v>
      </c>
      <c r="AD6" s="22">
        <v>56.9343</v>
      </c>
      <c r="AE6" s="22">
        <v>57.082900000000002</v>
      </c>
      <c r="AF6" s="22">
        <v>57.249400000000001</v>
      </c>
      <c r="AG6" s="22">
        <v>57.3992</v>
      </c>
      <c r="AH6" s="22">
        <v>57.564599999999999</v>
      </c>
      <c r="AI6" s="22">
        <v>57.745800000000003</v>
      </c>
      <c r="AJ6" s="22">
        <v>57.942399999999999</v>
      </c>
      <c r="AK6" s="22">
        <v>58.154299999999999</v>
      </c>
      <c r="AL6" s="22">
        <v>58.428600000000003</v>
      </c>
      <c r="AM6" s="22">
        <v>58.717799999999997</v>
      </c>
      <c r="AN6" s="22">
        <v>59.021799999999999</v>
      </c>
      <c r="AO6" s="22">
        <v>59.340200000000003</v>
      </c>
      <c r="AP6" s="22">
        <v>59.673000000000002</v>
      </c>
      <c r="AQ6" s="22">
        <v>59.998600000000003</v>
      </c>
      <c r="AR6" s="22">
        <v>60.3367</v>
      </c>
      <c r="AS6" s="22">
        <v>60.686700000000002</v>
      </c>
      <c r="AT6" s="22">
        <v>61.048400000000001</v>
      </c>
      <c r="AU6" s="22">
        <v>61.421300000000002</v>
      </c>
      <c r="AV6" s="22">
        <v>61.760399999999997</v>
      </c>
      <c r="AW6" s="22">
        <v>62.109699999999997</v>
      </c>
      <c r="AX6" s="22">
        <v>62.4696</v>
      </c>
      <c r="AY6" s="22">
        <v>62.8399</v>
      </c>
      <c r="AZ6" s="22">
        <v>63.220100000000002</v>
      </c>
      <c r="BA6" s="22">
        <v>63.595999999999997</v>
      </c>
      <c r="BB6" s="22">
        <v>63.979799999999997</v>
      </c>
      <c r="BC6" s="22">
        <v>64.373199999999997</v>
      </c>
      <c r="BD6" s="22">
        <v>64.773499999999999</v>
      </c>
      <c r="BE6" s="22">
        <v>65.180400000000006</v>
      </c>
      <c r="BF6" s="22">
        <v>65.357699999999994</v>
      </c>
      <c r="BG6" s="22">
        <v>65.534400000000005</v>
      </c>
      <c r="BH6" s="22">
        <v>65.712199999999996</v>
      </c>
      <c r="BI6" s="22">
        <v>65.890600000000006</v>
      </c>
      <c r="BJ6" s="22">
        <v>66.069100000000006</v>
      </c>
      <c r="BK6" s="22">
        <v>66.265100000000004</v>
      </c>
      <c r="BL6" s="22">
        <v>66.460700000000003</v>
      </c>
      <c r="BM6" s="22">
        <v>66.656400000000005</v>
      </c>
      <c r="BN6" s="22">
        <v>66.852000000000004</v>
      </c>
      <c r="BO6" s="22">
        <v>67.046899999999994</v>
      </c>
      <c r="BP6" s="22">
        <v>67.209900000000005</v>
      </c>
      <c r="BQ6" s="22">
        <v>67.373500000000007</v>
      </c>
      <c r="BR6" s="22">
        <v>67.537999999999997</v>
      </c>
      <c r="BS6" s="22">
        <v>67.703299999999999</v>
      </c>
      <c r="BT6" s="22">
        <v>67.869</v>
      </c>
      <c r="BU6" s="22">
        <v>68.048000000000002</v>
      </c>
      <c r="BV6" s="22">
        <v>68.226399999999998</v>
      </c>
      <c r="BW6" s="22">
        <v>68.405600000000007</v>
      </c>
      <c r="BX6" s="22">
        <v>68.585899999999995</v>
      </c>
      <c r="BY6" s="22">
        <v>68.767099999999999</v>
      </c>
      <c r="BZ6" s="22">
        <v>68.889499999999998</v>
      </c>
      <c r="CA6" s="22">
        <v>69.009500000000003</v>
      </c>
      <c r="CB6" s="22">
        <v>69.128399999999999</v>
      </c>
      <c r="CC6" s="22">
        <v>69.246300000000005</v>
      </c>
      <c r="CD6" s="22">
        <v>69.362799999999993</v>
      </c>
      <c r="CE6" s="22">
        <v>69.510800000000003</v>
      </c>
      <c r="CF6" s="22">
        <v>69.6571</v>
      </c>
      <c r="CG6" s="22">
        <v>69.8035</v>
      </c>
      <c r="CH6" s="22">
        <v>69.950100000000006</v>
      </c>
      <c r="CI6" s="22">
        <v>70.096699999999998</v>
      </c>
      <c r="CJ6" s="22">
        <v>70.192499999999995</v>
      </c>
      <c r="CK6" s="22">
        <v>70.287899999999993</v>
      </c>
      <c r="CL6" s="22">
        <v>70.385400000000004</v>
      </c>
      <c r="CM6" s="22">
        <v>70.485100000000003</v>
      </c>
      <c r="CN6" s="22">
        <v>70.586799999999997</v>
      </c>
      <c r="CO6" s="22">
        <v>70.712800000000001</v>
      </c>
      <c r="CP6" s="22">
        <v>70.8386</v>
      </c>
      <c r="CQ6" s="22">
        <v>70.967399999999998</v>
      </c>
      <c r="CR6" s="22">
        <v>71.099599999999995</v>
      </c>
      <c r="CS6" s="22">
        <v>71.235399999999998</v>
      </c>
    </row>
    <row r="7" spans="1:97" ht="15" customHeight="1">
      <c r="A7" s="23" t="s">
        <v>27</v>
      </c>
      <c r="C7" s="26">
        <f t="shared" si="0"/>
        <v>799.70400000000018</v>
      </c>
      <c r="D7" s="26">
        <f t="shared" si="1"/>
        <v>1081.7775000000001</v>
      </c>
      <c r="E7" s="26">
        <f t="shared" si="2"/>
        <v>4992.8936999999996</v>
      </c>
      <c r="G7" s="22">
        <v>50.712200000000003</v>
      </c>
      <c r="H7" s="22">
        <v>52.107199999999999</v>
      </c>
      <c r="I7" s="22">
        <v>53.209400000000002</v>
      </c>
      <c r="J7" s="22">
        <v>54.185899999999997</v>
      </c>
      <c r="K7" s="22">
        <v>55.671300000000002</v>
      </c>
      <c r="L7" s="22">
        <v>57.156599999999997</v>
      </c>
      <c r="M7" s="22">
        <v>57.5503</v>
      </c>
      <c r="N7" s="22">
        <v>57.9163</v>
      </c>
      <c r="O7" s="22">
        <v>58.257100000000001</v>
      </c>
      <c r="P7" s="22">
        <v>58.5717</v>
      </c>
      <c r="Q7" s="22">
        <v>58.859299999999998</v>
      </c>
      <c r="R7" s="22">
        <v>58.457099999999997</v>
      </c>
      <c r="S7" s="22">
        <v>58.061</v>
      </c>
      <c r="T7" s="22">
        <v>57.666499999999999</v>
      </c>
      <c r="U7" s="22">
        <v>57.270699999999998</v>
      </c>
      <c r="V7" s="22">
        <v>56.870800000000003</v>
      </c>
      <c r="W7" s="22">
        <v>56.735900000000001</v>
      </c>
      <c r="X7" s="22">
        <v>56.589599999999997</v>
      </c>
      <c r="Y7" s="22">
        <v>56.429499999999997</v>
      </c>
      <c r="Z7" s="22">
        <v>56.255000000000003</v>
      </c>
      <c r="AA7" s="22">
        <v>56.063499999999998</v>
      </c>
      <c r="AB7" s="22">
        <v>55.969799999999999</v>
      </c>
      <c r="AC7" s="22">
        <v>55.896500000000003</v>
      </c>
      <c r="AD7" s="22">
        <v>55.842799999999997</v>
      </c>
      <c r="AE7" s="22">
        <v>55.808300000000003</v>
      </c>
      <c r="AF7" s="22">
        <v>55.792700000000004</v>
      </c>
      <c r="AG7" s="22">
        <v>55.761499999999998</v>
      </c>
      <c r="AH7" s="22">
        <v>55.747</v>
      </c>
      <c r="AI7" s="22">
        <v>55.749400000000001</v>
      </c>
      <c r="AJ7" s="22">
        <v>55.768300000000004</v>
      </c>
      <c r="AK7" s="22">
        <v>55.803400000000003</v>
      </c>
      <c r="AL7" s="22">
        <v>55.891300000000001</v>
      </c>
      <c r="AM7" s="22">
        <v>55.994900000000001</v>
      </c>
      <c r="AN7" s="22">
        <v>56.114400000000003</v>
      </c>
      <c r="AO7" s="22">
        <v>56.249299999999998</v>
      </c>
      <c r="AP7" s="22">
        <v>56.399500000000003</v>
      </c>
      <c r="AQ7" s="22">
        <v>56.334299999999999</v>
      </c>
      <c r="AR7" s="22">
        <v>56.287999999999997</v>
      </c>
      <c r="AS7" s="22">
        <v>56.26</v>
      </c>
      <c r="AT7" s="22">
        <v>56.2498</v>
      </c>
      <c r="AU7" s="22">
        <v>56.256999999999998</v>
      </c>
      <c r="AV7" s="22">
        <v>56.255400000000002</v>
      </c>
      <c r="AW7" s="22">
        <v>56.2697</v>
      </c>
      <c r="AX7" s="22">
        <v>56.3005</v>
      </c>
      <c r="AY7" s="22">
        <v>56.347200000000001</v>
      </c>
      <c r="AZ7" s="22">
        <v>56.409399999999998</v>
      </c>
      <c r="BA7" s="22">
        <v>56.472499999999997</v>
      </c>
      <c r="BB7" s="22">
        <v>56.548900000000003</v>
      </c>
      <c r="BC7" s="22">
        <v>56.64</v>
      </c>
      <c r="BD7" s="22">
        <v>56.743099999999998</v>
      </c>
      <c r="BE7" s="22">
        <v>56.857700000000001</v>
      </c>
      <c r="BF7" s="22">
        <v>56.758000000000003</v>
      </c>
      <c r="BG7" s="22">
        <v>56.662300000000002</v>
      </c>
      <c r="BH7" s="22">
        <v>56.572600000000001</v>
      </c>
      <c r="BI7" s="22">
        <v>56.487900000000003</v>
      </c>
      <c r="BJ7" s="22">
        <v>56.407800000000002</v>
      </c>
      <c r="BK7" s="22">
        <v>56.349499999999999</v>
      </c>
      <c r="BL7" s="22">
        <v>56.295200000000001</v>
      </c>
      <c r="BM7" s="22">
        <v>56.245199999999997</v>
      </c>
      <c r="BN7" s="22">
        <v>56.199100000000001</v>
      </c>
      <c r="BO7" s="22">
        <v>56.156500000000001</v>
      </c>
      <c r="BP7" s="22">
        <v>56.081800000000001</v>
      </c>
      <c r="BQ7" s="22">
        <v>56.011699999999998</v>
      </c>
      <c r="BR7" s="22">
        <v>55.946300000000001</v>
      </c>
      <c r="BS7" s="22">
        <v>55.885300000000001</v>
      </c>
      <c r="BT7" s="22">
        <v>55.828499999999998</v>
      </c>
      <c r="BU7" s="22">
        <v>55.788600000000002</v>
      </c>
      <c r="BV7" s="22">
        <v>55.751399999999997</v>
      </c>
      <c r="BW7" s="22">
        <v>55.718600000000002</v>
      </c>
      <c r="BX7" s="22">
        <v>55.690199999999997</v>
      </c>
      <c r="BY7" s="22">
        <v>55.6661</v>
      </c>
      <c r="BZ7" s="22">
        <v>55.587499999999999</v>
      </c>
      <c r="CA7" s="22">
        <v>55.509599999999999</v>
      </c>
      <c r="CB7" s="22">
        <v>55.433900000000001</v>
      </c>
      <c r="CC7" s="22">
        <v>55.36</v>
      </c>
      <c r="CD7" s="22">
        <v>55.287799999999997</v>
      </c>
      <c r="CE7" s="22">
        <v>55.250100000000003</v>
      </c>
      <c r="CF7" s="22">
        <v>55.2134</v>
      </c>
      <c r="CG7" s="22">
        <v>55.1798</v>
      </c>
      <c r="CH7" s="22">
        <v>55.149099999999997</v>
      </c>
      <c r="CI7" s="22">
        <v>55.121000000000002</v>
      </c>
      <c r="CJ7" s="22">
        <v>55.090600000000002</v>
      </c>
      <c r="CK7" s="22">
        <v>55.062199999999997</v>
      </c>
      <c r="CL7" s="22">
        <v>55.038600000000002</v>
      </c>
      <c r="CM7" s="22">
        <v>55.019599999999997</v>
      </c>
      <c r="CN7" s="22">
        <v>55.005000000000003</v>
      </c>
      <c r="CO7" s="22">
        <v>55.017099999999999</v>
      </c>
      <c r="CP7" s="22">
        <v>55.031399999999998</v>
      </c>
      <c r="CQ7" s="22">
        <v>55.051000000000002</v>
      </c>
      <c r="CR7" s="22">
        <v>55.0762</v>
      </c>
      <c r="CS7" s="22">
        <v>55.107100000000003</v>
      </c>
    </row>
    <row r="8" spans="1:97" ht="15" customHeight="1">
      <c r="A8" s="23" t="s">
        <v>28</v>
      </c>
      <c r="C8" s="26">
        <f t="shared" si="0"/>
        <v>795.50689999999986</v>
      </c>
      <c r="D8" s="26">
        <f t="shared" si="1"/>
        <v>1073.2561999999998</v>
      </c>
      <c r="E8" s="26">
        <f t="shared" si="2"/>
        <v>4187.7816999999977</v>
      </c>
      <c r="G8" s="22">
        <v>50.712200000000003</v>
      </c>
      <c r="H8" s="22">
        <v>52.107199999999999</v>
      </c>
      <c r="I8" s="22">
        <v>53.209400000000002</v>
      </c>
      <c r="J8" s="22">
        <v>54.185899999999997</v>
      </c>
      <c r="K8" s="22">
        <v>55.671300000000002</v>
      </c>
      <c r="L8" s="22">
        <v>57.156599999999997</v>
      </c>
      <c r="M8" s="22">
        <v>57.456499999999998</v>
      </c>
      <c r="N8" s="22">
        <v>57.734999999999999</v>
      </c>
      <c r="O8" s="22">
        <v>57.992400000000004</v>
      </c>
      <c r="P8" s="22">
        <v>58.227899999999998</v>
      </c>
      <c r="Q8" s="22">
        <v>58.440899999999999</v>
      </c>
      <c r="R8" s="22">
        <v>57.98</v>
      </c>
      <c r="S8" s="22">
        <v>57.5289</v>
      </c>
      <c r="T8" s="22">
        <v>57.083399999999997</v>
      </c>
      <c r="U8" s="22">
        <v>56.640599999999999</v>
      </c>
      <c r="V8" s="22">
        <v>56.198099999999997</v>
      </c>
      <c r="W8" s="22">
        <v>55.996299999999998</v>
      </c>
      <c r="X8" s="22">
        <v>55.785200000000003</v>
      </c>
      <c r="Y8" s="22">
        <v>55.5625</v>
      </c>
      <c r="Z8" s="22">
        <v>55.327599999999997</v>
      </c>
      <c r="AA8" s="22">
        <v>55.0777</v>
      </c>
      <c r="AB8" s="22">
        <v>54.775199999999998</v>
      </c>
      <c r="AC8" s="22">
        <v>54.491</v>
      </c>
      <c r="AD8" s="22">
        <v>54.2241</v>
      </c>
      <c r="AE8" s="22">
        <v>53.973999999999997</v>
      </c>
      <c r="AF8" s="22">
        <v>53.740299999999998</v>
      </c>
      <c r="AG8" s="22">
        <v>53.481900000000003</v>
      </c>
      <c r="AH8" s="22">
        <v>53.236499999999999</v>
      </c>
      <c r="AI8" s="22">
        <v>53.003799999999998</v>
      </c>
      <c r="AJ8" s="22">
        <v>52.783299999999997</v>
      </c>
      <c r="AK8" s="22">
        <v>52.574800000000003</v>
      </c>
      <c r="AL8" s="22">
        <v>52.3889</v>
      </c>
      <c r="AM8" s="22">
        <v>52.213900000000002</v>
      </c>
      <c r="AN8" s="22">
        <v>52.049500000000002</v>
      </c>
      <c r="AO8" s="22">
        <v>51.895400000000002</v>
      </c>
      <c r="AP8" s="22">
        <v>51.751199999999997</v>
      </c>
      <c r="AQ8" s="22">
        <v>51.382800000000003</v>
      </c>
      <c r="AR8" s="22">
        <v>51.027799999999999</v>
      </c>
      <c r="AS8" s="22">
        <v>50.685499999999998</v>
      </c>
      <c r="AT8" s="22">
        <v>50.355400000000003</v>
      </c>
      <c r="AU8" s="22">
        <v>50.036900000000003</v>
      </c>
      <c r="AV8" s="22">
        <v>49.717599999999997</v>
      </c>
      <c r="AW8" s="22">
        <v>49.408700000000003</v>
      </c>
      <c r="AX8" s="22">
        <v>49.110199999999999</v>
      </c>
      <c r="AY8" s="22">
        <v>48.8215</v>
      </c>
      <c r="AZ8" s="22">
        <v>48.542000000000002</v>
      </c>
      <c r="BA8" s="22">
        <v>48.259399999999999</v>
      </c>
      <c r="BB8" s="22">
        <v>47.984400000000001</v>
      </c>
      <c r="BC8" s="22">
        <v>47.717199999999998</v>
      </c>
      <c r="BD8" s="22">
        <v>47.455100000000002</v>
      </c>
      <c r="BE8" s="22">
        <v>47.197800000000001</v>
      </c>
      <c r="BF8" s="22">
        <v>46.798099999999998</v>
      </c>
      <c r="BG8" s="22">
        <v>46.400399999999998</v>
      </c>
      <c r="BH8" s="22">
        <v>46.004899999999999</v>
      </c>
      <c r="BI8" s="22">
        <v>45.610999999999997</v>
      </c>
      <c r="BJ8" s="22">
        <v>45.218200000000003</v>
      </c>
      <c r="BK8" s="22">
        <v>44.841200000000001</v>
      </c>
      <c r="BL8" s="22">
        <v>44.465200000000003</v>
      </c>
      <c r="BM8" s="22">
        <v>44.090200000000003</v>
      </c>
      <c r="BN8" s="22">
        <v>43.715800000000002</v>
      </c>
      <c r="BO8" s="22">
        <v>43.341700000000003</v>
      </c>
      <c r="BP8" s="22">
        <v>42.966200000000001</v>
      </c>
      <c r="BQ8" s="22">
        <v>42.592799999999997</v>
      </c>
      <c r="BR8" s="22">
        <v>42.221200000000003</v>
      </c>
      <c r="BS8" s="22">
        <v>41.851300000000002</v>
      </c>
      <c r="BT8" s="22">
        <v>41.482900000000001</v>
      </c>
      <c r="BU8" s="22">
        <v>41.125300000000003</v>
      </c>
      <c r="BV8" s="22">
        <v>40.769199999999998</v>
      </c>
      <c r="BW8" s="22">
        <v>40.414700000000003</v>
      </c>
      <c r="BX8" s="22">
        <v>40.061799999999998</v>
      </c>
      <c r="BY8" s="22">
        <v>39.710299999999997</v>
      </c>
      <c r="BZ8" s="22">
        <v>39.310899999999997</v>
      </c>
      <c r="CA8" s="22">
        <v>38.911999999999999</v>
      </c>
      <c r="CB8" s="22">
        <v>38.5137</v>
      </c>
      <c r="CC8" s="22">
        <v>38.115900000000003</v>
      </c>
      <c r="CD8" s="22">
        <v>37.718499999999999</v>
      </c>
      <c r="CE8" s="22">
        <v>37.347200000000001</v>
      </c>
      <c r="CF8" s="22">
        <v>36.976900000000001</v>
      </c>
      <c r="CG8" s="22">
        <v>36.607599999999998</v>
      </c>
      <c r="CH8" s="22">
        <v>36.239400000000003</v>
      </c>
      <c r="CI8" s="22">
        <v>35.872</v>
      </c>
      <c r="CJ8" s="22">
        <v>35.537700000000001</v>
      </c>
      <c r="CK8" s="22">
        <v>35.205599999999997</v>
      </c>
      <c r="CL8" s="22">
        <v>34.875900000000001</v>
      </c>
      <c r="CM8" s="22">
        <v>34.548499999999997</v>
      </c>
      <c r="CN8" s="22">
        <v>34.223300000000002</v>
      </c>
      <c r="CO8" s="22">
        <v>33.915999999999997</v>
      </c>
      <c r="CP8" s="22">
        <v>33.610700000000001</v>
      </c>
      <c r="CQ8" s="22">
        <v>33.3078</v>
      </c>
      <c r="CR8" s="22">
        <v>33.0075</v>
      </c>
      <c r="CS8" s="22">
        <v>32.709899999999998</v>
      </c>
    </row>
    <row r="9" spans="1:97" ht="15.75">
      <c r="A9" s="23" t="s">
        <v>29</v>
      </c>
      <c r="C9" s="26">
        <f t="shared" si="0"/>
        <v>792.0929000000001</v>
      </c>
      <c r="D9" s="26">
        <f t="shared" si="1"/>
        <v>1064.9502</v>
      </c>
      <c r="E9" s="26">
        <f t="shared" si="2"/>
        <v>2736.7352199999996</v>
      </c>
      <c r="G9" s="22">
        <v>50.712200000000003</v>
      </c>
      <c r="H9" s="22">
        <v>52.107199999999999</v>
      </c>
      <c r="I9" s="22">
        <v>53.209400000000002</v>
      </c>
      <c r="J9" s="22">
        <v>54.185899999999997</v>
      </c>
      <c r="K9" s="22">
        <v>55.671300000000002</v>
      </c>
      <c r="L9" s="22">
        <v>57.156599999999997</v>
      </c>
      <c r="M9" s="22">
        <v>57.403300000000002</v>
      </c>
      <c r="N9" s="22">
        <v>57.625</v>
      </c>
      <c r="O9" s="22">
        <v>57.822299999999998</v>
      </c>
      <c r="P9" s="22">
        <v>57.994700000000002</v>
      </c>
      <c r="Q9" s="22">
        <v>58.141800000000003</v>
      </c>
      <c r="R9" s="22">
        <v>57.613100000000003</v>
      </c>
      <c r="S9" s="22">
        <v>57.092199999999998</v>
      </c>
      <c r="T9" s="22">
        <v>56.575000000000003</v>
      </c>
      <c r="U9" s="22">
        <v>56.059399999999997</v>
      </c>
      <c r="V9" s="22">
        <v>55.542900000000003</v>
      </c>
      <c r="W9" s="22">
        <v>55.233400000000003</v>
      </c>
      <c r="X9" s="22">
        <v>54.914400000000001</v>
      </c>
      <c r="Y9" s="22">
        <v>54.5839</v>
      </c>
      <c r="Z9" s="22">
        <v>54.241300000000003</v>
      </c>
      <c r="AA9" s="22">
        <v>53.884300000000003</v>
      </c>
      <c r="AB9" s="22">
        <v>53.091900000000003</v>
      </c>
      <c r="AC9" s="22">
        <v>52.333199999999998</v>
      </c>
      <c r="AD9" s="22">
        <v>51.606699999999996</v>
      </c>
      <c r="AE9" s="22">
        <v>50.911099999999998</v>
      </c>
      <c r="AF9" s="22">
        <v>50.245699999999999</v>
      </c>
      <c r="AG9" s="22">
        <v>49.173400000000001</v>
      </c>
      <c r="AH9" s="22">
        <v>48.112200000000001</v>
      </c>
      <c r="AI9" s="22">
        <v>47.060899999999997</v>
      </c>
      <c r="AJ9" s="22">
        <v>46.0182</v>
      </c>
      <c r="AK9" s="22">
        <v>44.982700000000001</v>
      </c>
      <c r="AL9" s="22">
        <v>43.9681</v>
      </c>
      <c r="AM9" s="22">
        <v>42.9572</v>
      </c>
      <c r="AN9" s="22">
        <v>41.948900000000002</v>
      </c>
      <c r="AO9" s="22">
        <v>40.941899999999997</v>
      </c>
      <c r="AP9" s="22">
        <v>39.935000000000002</v>
      </c>
      <c r="AQ9" s="22">
        <v>38.715000000000003</v>
      </c>
      <c r="AR9" s="22">
        <v>37.506900000000002</v>
      </c>
      <c r="AS9" s="22">
        <v>36.309199999999997</v>
      </c>
      <c r="AT9" s="22">
        <v>35.120199999999997</v>
      </c>
      <c r="AU9" s="22">
        <v>33.938499999999998</v>
      </c>
      <c r="AV9" s="22">
        <v>32.770299999999999</v>
      </c>
      <c r="AW9" s="22">
        <v>31.642299999999999</v>
      </c>
      <c r="AX9" s="22">
        <v>30.553100000000001</v>
      </c>
      <c r="AY9" s="22">
        <v>29.5014</v>
      </c>
      <c r="AZ9" s="22">
        <v>28.486000000000001</v>
      </c>
      <c r="BA9" s="22">
        <v>27.505500000000001</v>
      </c>
      <c r="BB9" s="22">
        <v>26.558700000000002</v>
      </c>
      <c r="BC9" s="22">
        <v>25.644500000000001</v>
      </c>
      <c r="BD9" s="22">
        <v>24.761800000000001</v>
      </c>
      <c r="BE9" s="22">
        <v>23.909500000000001</v>
      </c>
      <c r="BF9" s="22">
        <v>23.086400000000001</v>
      </c>
      <c r="BG9" s="22">
        <v>22.291699999999999</v>
      </c>
      <c r="BH9" s="22">
        <v>21.5244</v>
      </c>
      <c r="BI9" s="22">
        <v>20.7835</v>
      </c>
      <c r="BJ9" s="22">
        <v>20.068100000000001</v>
      </c>
      <c r="BK9" s="22">
        <v>19.377400000000002</v>
      </c>
      <c r="BL9" s="22">
        <v>18.7104</v>
      </c>
      <c r="BM9" s="22">
        <v>18.066400000000002</v>
      </c>
      <c r="BN9" s="22">
        <v>17.444600000000001</v>
      </c>
      <c r="BO9" s="22">
        <v>16.844200000000001</v>
      </c>
      <c r="BP9" s="22">
        <v>16.264299999999999</v>
      </c>
      <c r="BQ9" s="22">
        <v>15.7043</v>
      </c>
      <c r="BR9" s="22">
        <v>15.1637</v>
      </c>
      <c r="BS9" s="22">
        <v>14.6417</v>
      </c>
      <c r="BT9" s="22">
        <v>14.137700000000001</v>
      </c>
      <c r="BU9" s="22">
        <v>13.651</v>
      </c>
      <c r="BV9" s="22">
        <v>13.1812</v>
      </c>
      <c r="BW9" s="22">
        <v>12.727499999999999</v>
      </c>
      <c r="BX9" s="22">
        <v>12.2895</v>
      </c>
      <c r="BY9" s="22">
        <v>11.8665</v>
      </c>
      <c r="BZ9" s="22">
        <v>11.458299999999999</v>
      </c>
      <c r="CA9" s="22">
        <v>11.0642</v>
      </c>
      <c r="CB9" s="22">
        <v>10.6837</v>
      </c>
      <c r="CC9" s="22">
        <v>10.3162</v>
      </c>
      <c r="CD9" s="22">
        <v>9.9615200000000002</v>
      </c>
      <c r="CE9" s="22">
        <v>9.6190300000000004</v>
      </c>
      <c r="CF9" s="22">
        <v>9.2883600000000008</v>
      </c>
      <c r="CG9" s="22">
        <v>8.9690999999999992</v>
      </c>
      <c r="CH9" s="22">
        <v>8.6608699999999992</v>
      </c>
      <c r="CI9" s="22">
        <v>8.3632799999999996</v>
      </c>
      <c r="CJ9" s="22">
        <v>8.0761099999999999</v>
      </c>
      <c r="CK9" s="22">
        <v>7.7988499999999998</v>
      </c>
      <c r="CL9" s="22">
        <v>7.5311500000000002</v>
      </c>
      <c r="CM9" s="22">
        <v>7.2727000000000004</v>
      </c>
      <c r="CN9" s="22">
        <v>7.0231599999999998</v>
      </c>
      <c r="CO9" s="22">
        <v>6.7822300000000002</v>
      </c>
      <c r="CP9" s="22">
        <v>6.54962</v>
      </c>
      <c r="CQ9" s="22">
        <v>6.3250400000000004</v>
      </c>
      <c r="CR9" s="22">
        <v>6.1082200000000002</v>
      </c>
      <c r="CS9" s="22">
        <v>5.8988800000000001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O7"/>
  <sheetViews>
    <sheetView workbookViewId="0">
      <selection activeCell="N4" sqref="N4:O4"/>
    </sheetView>
  </sheetViews>
  <sheetFormatPr defaultRowHeight="15"/>
  <cols>
    <col min="4" max="4" width="19" customWidth="1"/>
  </cols>
  <sheetData>
    <row r="1" spans="1:15" ht="15.75">
      <c r="A1" s="32" t="s">
        <v>52</v>
      </c>
    </row>
    <row r="2" spans="1:15">
      <c r="A2" s="35" t="s">
        <v>53</v>
      </c>
      <c r="B2" s="21"/>
      <c r="C2" s="21"/>
      <c r="D2" s="21"/>
      <c r="E2" s="21"/>
      <c r="F2" s="21"/>
      <c r="G2" s="21"/>
      <c r="H2" s="21"/>
      <c r="I2" s="21"/>
    </row>
    <row r="3" spans="1:15">
      <c r="B3" s="22"/>
      <c r="C3" s="22"/>
      <c r="D3" s="22"/>
      <c r="E3" s="1">
        <v>2010</v>
      </c>
      <c r="F3" s="1">
        <v>2011</v>
      </c>
      <c r="G3" s="1">
        <v>2020</v>
      </c>
      <c r="H3" s="1">
        <v>2025</v>
      </c>
      <c r="I3" s="1">
        <v>2030</v>
      </c>
      <c r="J3" s="1">
        <v>2050</v>
      </c>
      <c r="K3" s="1">
        <v>2075</v>
      </c>
      <c r="L3" s="1">
        <v>2100</v>
      </c>
    </row>
    <row r="4" spans="1:15">
      <c r="B4" s="22"/>
      <c r="C4" s="22"/>
      <c r="D4" s="22" t="s">
        <v>54</v>
      </c>
      <c r="E4" s="1">
        <v>48.6</v>
      </c>
      <c r="F4" s="1">
        <v>49.1</v>
      </c>
      <c r="G4" s="27">
        <v>52</v>
      </c>
      <c r="H4" s="27">
        <v>55</v>
      </c>
      <c r="I4" s="27">
        <v>56</v>
      </c>
      <c r="J4" s="27">
        <v>64</v>
      </c>
      <c r="K4" s="27">
        <v>74</v>
      </c>
      <c r="L4" s="27">
        <v>78</v>
      </c>
      <c r="N4">
        <f>14*(55+50)/2</f>
        <v>735</v>
      </c>
      <c r="O4" s="1">
        <f>19*(56+49.1)/2</f>
        <v>998.44999999999993</v>
      </c>
    </row>
    <row r="5" spans="1:15">
      <c r="B5" s="22"/>
      <c r="C5" s="22"/>
      <c r="D5" s="22"/>
    </row>
    <row r="6" spans="1:15">
      <c r="B6" s="22"/>
      <c r="C6" s="22"/>
      <c r="D6" s="22"/>
      <c r="E6" s="22"/>
      <c r="F6" s="22"/>
      <c r="G6" s="22"/>
      <c r="H6" s="22"/>
      <c r="I6" s="22"/>
    </row>
    <row r="7" spans="1:15">
      <c r="B7" s="22"/>
      <c r="C7" s="22"/>
      <c r="D7" s="22"/>
      <c r="E7" s="22"/>
      <c r="F7" s="22"/>
      <c r="G7" s="22"/>
      <c r="H7" s="22"/>
      <c r="I7" s="22"/>
    </row>
  </sheetData>
  <hyperlinks>
    <hyperlink ref="A2" r:id="rId1" display="http://globalchange.mit.edu/files/2015 Energy %26 Climate Outlook.pdf"/>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P61"/>
  <sheetViews>
    <sheetView topLeftCell="A31" workbookViewId="0">
      <selection activeCell="E65" sqref="E65"/>
    </sheetView>
  </sheetViews>
  <sheetFormatPr defaultRowHeight="15"/>
  <cols>
    <col min="1" max="1" width="51.28515625" style="1" customWidth="1"/>
    <col min="2" max="15" width="5.7109375" style="1" customWidth="1"/>
    <col min="16" max="16" width="5.7109375" style="145" customWidth="1"/>
    <col min="17" max="16384" width="9.140625" style="1"/>
  </cols>
  <sheetData>
    <row r="1" spans="1:16">
      <c r="A1" s="33" t="s">
        <v>50</v>
      </c>
    </row>
    <row r="2" spans="1:16">
      <c r="A2" s="35" t="s">
        <v>88</v>
      </c>
    </row>
    <row r="3" spans="1:16">
      <c r="A3" s="35"/>
    </row>
    <row r="4" spans="1:16">
      <c r="A4" s="35"/>
    </row>
    <row r="6" spans="1:16">
      <c r="B6" s="35" t="s">
        <v>73</v>
      </c>
    </row>
    <row r="7" spans="1:16">
      <c r="A7" s="206" t="s">
        <v>74</v>
      </c>
      <c r="B7" s="206"/>
      <c r="C7" s="207"/>
      <c r="D7" s="207"/>
    </row>
    <row r="8" spans="1:16">
      <c r="A8" s="3"/>
      <c r="B8" s="208" t="s">
        <v>75</v>
      </c>
      <c r="C8" s="209"/>
      <c r="D8" s="210"/>
      <c r="G8" s="25"/>
      <c r="H8" s="25"/>
      <c r="I8" s="25">
        <v>0.76</v>
      </c>
      <c r="J8" s="25" t="s">
        <v>76</v>
      </c>
      <c r="K8" s="25"/>
      <c r="L8" s="25"/>
      <c r="M8" s="25"/>
      <c r="N8" s="25"/>
      <c r="O8" s="25"/>
      <c r="P8" s="62"/>
    </row>
    <row r="9" spans="1:16">
      <c r="A9" s="3"/>
      <c r="B9" s="52">
        <v>1.5</v>
      </c>
      <c r="C9" s="52">
        <v>2</v>
      </c>
      <c r="D9" s="52">
        <v>3</v>
      </c>
      <c r="E9" s="56"/>
      <c r="F9" s="56"/>
      <c r="G9" s="57"/>
      <c r="H9" s="57"/>
      <c r="I9" s="57"/>
      <c r="J9" s="25"/>
      <c r="K9" s="25"/>
      <c r="L9" s="25"/>
      <c r="M9" s="25"/>
      <c r="N9" s="25"/>
      <c r="O9" s="25"/>
      <c r="P9" s="62"/>
    </row>
    <row r="10" spans="1:16">
      <c r="A10" s="3" t="s">
        <v>77</v>
      </c>
      <c r="B10" s="3">
        <v>400</v>
      </c>
      <c r="C10" s="55">
        <v>1000</v>
      </c>
      <c r="D10" s="55">
        <v>2400</v>
      </c>
      <c r="G10" s="25"/>
      <c r="H10" s="25"/>
      <c r="I10" s="25"/>
      <c r="J10" s="25"/>
      <c r="K10" s="25"/>
      <c r="L10" s="25"/>
      <c r="M10" s="25"/>
      <c r="N10" s="25"/>
      <c r="O10" s="25"/>
      <c r="P10" s="62"/>
    </row>
    <row r="11" spans="1:16">
      <c r="A11" s="3" t="s">
        <v>78</v>
      </c>
      <c r="B11" s="3">
        <v>550</v>
      </c>
      <c r="C11" s="55">
        <v>1300</v>
      </c>
      <c r="D11" s="55">
        <v>2800</v>
      </c>
      <c r="G11" s="25"/>
      <c r="H11" s="25"/>
      <c r="I11" s="25"/>
      <c r="J11" s="25"/>
      <c r="K11" s="25"/>
      <c r="L11" s="25"/>
      <c r="M11" s="25"/>
      <c r="N11" s="25"/>
      <c r="O11" s="25"/>
      <c r="P11" s="62"/>
    </row>
    <row r="12" spans="1:16">
      <c r="G12" s="25"/>
      <c r="H12" s="25"/>
      <c r="I12" s="25"/>
      <c r="J12" s="25"/>
      <c r="K12" s="25"/>
      <c r="L12" s="25"/>
      <c r="M12" s="25"/>
      <c r="N12" s="25"/>
      <c r="O12" s="25"/>
      <c r="P12" s="62"/>
    </row>
    <row r="13" spans="1:16">
      <c r="B13" s="1" t="s">
        <v>79</v>
      </c>
    </row>
    <row r="14" spans="1:16">
      <c r="A14" s="54"/>
      <c r="B14" s="35" t="s">
        <v>80</v>
      </c>
    </row>
    <row r="15" spans="1:16">
      <c r="A15" s="54"/>
      <c r="B15" s="1" t="s">
        <v>81</v>
      </c>
      <c r="M15" s="1" t="s">
        <v>82</v>
      </c>
      <c r="N15" s="1" t="s">
        <v>83</v>
      </c>
      <c r="O15" s="1" t="s">
        <v>84</v>
      </c>
    </row>
    <row r="16" spans="1:16">
      <c r="A16" s="54"/>
      <c r="B16" s="1" t="s">
        <v>85</v>
      </c>
      <c r="M16" s="1">
        <v>133.333</v>
      </c>
      <c r="N16" s="1">
        <v>733.33299999999997</v>
      </c>
      <c r="O16" s="1">
        <v>-1000</v>
      </c>
    </row>
    <row r="17" spans="1:16">
      <c r="A17" s="54"/>
      <c r="B17" s="1" t="s">
        <v>86</v>
      </c>
    </row>
    <row r="18" spans="1:16">
      <c r="B18" s="1" t="s">
        <v>87</v>
      </c>
      <c r="M18" s="1">
        <f>-5.95238/100000000</f>
        <v>-5.95238E-8</v>
      </c>
      <c r="N18" s="1">
        <f>0.000916667</f>
        <v>9.1666700000000002E-4</v>
      </c>
      <c r="O18" s="1">
        <v>1.14286</v>
      </c>
    </row>
    <row r="20" spans="1:16" s="2" customFormat="1">
      <c r="A20" s="6"/>
      <c r="B20" s="59"/>
      <c r="C20" s="60"/>
      <c r="D20" s="58"/>
      <c r="E20" s="58"/>
      <c r="F20" s="58"/>
      <c r="G20" s="58"/>
      <c r="H20" s="58"/>
      <c r="I20" s="58"/>
      <c r="J20" s="58"/>
      <c r="K20" s="58"/>
      <c r="L20" s="58"/>
      <c r="M20" s="58"/>
      <c r="N20" s="58"/>
      <c r="O20" s="58"/>
      <c r="P20" s="146"/>
    </row>
    <row r="21" spans="1:16" s="2" customFormat="1">
      <c r="A21" s="6"/>
      <c r="B21" s="211" t="s">
        <v>56</v>
      </c>
      <c r="C21" s="212"/>
      <c r="D21" s="58"/>
      <c r="E21" s="58"/>
      <c r="F21" s="58"/>
      <c r="G21" s="58"/>
      <c r="H21" s="58"/>
      <c r="I21" s="58"/>
      <c r="J21" s="58"/>
      <c r="K21" s="58"/>
      <c r="L21" s="58"/>
      <c r="M21" s="58"/>
      <c r="N21" s="58"/>
      <c r="O21" s="58"/>
      <c r="P21" s="146"/>
    </row>
    <row r="22" spans="1:16">
      <c r="A22" s="3"/>
      <c r="B22" s="51">
        <v>2025</v>
      </c>
      <c r="C22" s="52">
        <v>2030</v>
      </c>
    </row>
    <row r="23" spans="1:16">
      <c r="A23" s="3" t="s">
        <v>137</v>
      </c>
      <c r="B23" s="118">
        <v>48.1</v>
      </c>
      <c r="C23" s="119">
        <v>48.1</v>
      </c>
    </row>
    <row r="24" spans="1:16">
      <c r="A24" s="3" t="s">
        <v>135</v>
      </c>
      <c r="B24" s="1">
        <v>55.2</v>
      </c>
      <c r="C24" s="1">
        <v>56.7</v>
      </c>
    </row>
    <row r="25" spans="1:16">
      <c r="A25" s="3" t="s">
        <v>138</v>
      </c>
      <c r="B25" s="7">
        <f>B24*I8</f>
        <v>41.952000000000005</v>
      </c>
      <c r="C25" s="7">
        <f>C24*I8</f>
        <v>43.092000000000006</v>
      </c>
    </row>
    <row r="26" spans="1:16">
      <c r="A26" s="53" t="s">
        <v>136</v>
      </c>
      <c r="B26" s="3">
        <v>541.70000000000005</v>
      </c>
      <c r="C26" s="3">
        <v>750</v>
      </c>
    </row>
    <row r="28" spans="1:16">
      <c r="A28" s="54"/>
    </row>
    <row r="29" spans="1:16" s="24" customFormat="1" ht="16.5" customHeight="1">
      <c r="A29" s="213" t="s">
        <v>176</v>
      </c>
      <c r="B29" s="204"/>
      <c r="C29" s="204"/>
      <c r="D29" s="204"/>
      <c r="E29" s="204"/>
      <c r="F29" s="204"/>
      <c r="G29" s="204"/>
      <c r="H29" s="204"/>
      <c r="I29" s="204"/>
      <c r="J29" s="204"/>
      <c r="K29" s="204"/>
      <c r="L29" s="204"/>
      <c r="M29" s="204"/>
      <c r="N29" s="204"/>
      <c r="O29" s="204"/>
      <c r="P29" s="147"/>
    </row>
    <row r="30" spans="1:16" s="37" customFormat="1" ht="16.5" customHeight="1">
      <c r="A30" s="203" t="s">
        <v>173</v>
      </c>
      <c r="B30" s="203"/>
      <c r="C30" s="203"/>
      <c r="D30" s="203"/>
      <c r="E30" s="203"/>
      <c r="F30" s="203"/>
      <c r="G30" s="203"/>
      <c r="H30" s="203"/>
      <c r="I30" s="203"/>
      <c r="J30" s="203"/>
      <c r="K30" s="203"/>
      <c r="L30" s="203"/>
      <c r="M30" s="203"/>
      <c r="N30" s="203"/>
      <c r="O30" s="203"/>
      <c r="P30" s="152"/>
    </row>
    <row r="31" spans="1:16" s="37" customFormat="1" ht="16.5" customHeight="1">
      <c r="A31" s="204" t="s">
        <v>174</v>
      </c>
      <c r="B31" s="203"/>
      <c r="C31" s="203"/>
      <c r="D31" s="203"/>
      <c r="E31" s="203"/>
      <c r="F31" s="203"/>
      <c r="G31" s="203"/>
      <c r="H31" s="203"/>
      <c r="I31" s="203"/>
      <c r="J31" s="203"/>
      <c r="K31" s="203"/>
      <c r="L31" s="203"/>
      <c r="M31" s="203"/>
      <c r="N31" s="203"/>
      <c r="O31" s="203"/>
      <c r="P31" s="152"/>
    </row>
    <row r="32" spans="1:16" s="37" customFormat="1" ht="16.5" customHeight="1">
      <c r="A32" s="204" t="s">
        <v>175</v>
      </c>
      <c r="B32" s="203"/>
      <c r="C32" s="203"/>
      <c r="D32" s="203"/>
      <c r="E32" s="203"/>
      <c r="F32" s="203"/>
      <c r="G32" s="203"/>
      <c r="H32" s="203"/>
      <c r="I32" s="203"/>
      <c r="J32" s="203"/>
      <c r="K32" s="203"/>
      <c r="L32" s="203"/>
      <c r="M32" s="203"/>
      <c r="N32" s="203"/>
      <c r="O32" s="203"/>
      <c r="P32" s="152"/>
    </row>
    <row r="33" spans="1:16" s="24" customFormat="1" ht="15" customHeight="1">
      <c r="A33" s="205" t="s">
        <v>55</v>
      </c>
      <c r="B33" s="205"/>
      <c r="C33" s="205"/>
      <c r="D33" s="205"/>
      <c r="E33" s="205"/>
      <c r="F33" s="205"/>
      <c r="G33" s="205"/>
      <c r="H33" s="205"/>
      <c r="I33" s="205"/>
      <c r="J33" s="205"/>
      <c r="K33" s="205"/>
      <c r="L33" s="205"/>
      <c r="M33" s="205"/>
      <c r="N33" s="205"/>
      <c r="O33" s="205"/>
      <c r="P33" s="148"/>
    </row>
    <row r="34" spans="1:16" ht="15" customHeight="1">
      <c r="A34" s="46" t="s">
        <v>56</v>
      </c>
      <c r="B34" s="3">
        <v>2025</v>
      </c>
      <c r="C34" s="3">
        <v>2025</v>
      </c>
      <c r="D34" s="3">
        <v>2025</v>
      </c>
      <c r="E34" s="3">
        <v>2025</v>
      </c>
      <c r="F34" s="3">
        <v>2025</v>
      </c>
      <c r="G34" s="3">
        <v>2025</v>
      </c>
      <c r="H34" s="3">
        <v>2025</v>
      </c>
      <c r="I34" s="3">
        <v>2030</v>
      </c>
      <c r="J34" s="3">
        <v>2030</v>
      </c>
      <c r="K34" s="3">
        <v>2030</v>
      </c>
      <c r="L34" s="3">
        <v>2030</v>
      </c>
      <c r="M34" s="3">
        <v>2030</v>
      </c>
      <c r="N34" s="3">
        <v>2030</v>
      </c>
      <c r="O34" s="3">
        <v>2030</v>
      </c>
      <c r="P34" s="62"/>
    </row>
    <row r="35" spans="1:16" ht="15" customHeight="1">
      <c r="A35" s="46" t="s">
        <v>57</v>
      </c>
      <c r="B35" s="3">
        <f t="shared" ref="B35:H35" si="0">$B$25</f>
        <v>41.952000000000005</v>
      </c>
      <c r="C35" s="3">
        <f t="shared" si="0"/>
        <v>41.952000000000005</v>
      </c>
      <c r="D35" s="3">
        <f t="shared" si="0"/>
        <v>41.952000000000005</v>
      </c>
      <c r="E35" s="3">
        <f t="shared" si="0"/>
        <v>41.952000000000005</v>
      </c>
      <c r="F35" s="3">
        <f t="shared" si="0"/>
        <v>41.952000000000005</v>
      </c>
      <c r="G35" s="3">
        <f t="shared" si="0"/>
        <v>41.952000000000005</v>
      </c>
      <c r="H35" s="3">
        <f t="shared" si="0"/>
        <v>41.952000000000005</v>
      </c>
      <c r="I35" s="3">
        <f t="shared" ref="I35:O35" si="1">$C$25</f>
        <v>43.092000000000006</v>
      </c>
      <c r="J35" s="3">
        <f t="shared" si="1"/>
        <v>43.092000000000006</v>
      </c>
      <c r="K35" s="3">
        <f t="shared" si="1"/>
        <v>43.092000000000006</v>
      </c>
      <c r="L35" s="3">
        <f t="shared" si="1"/>
        <v>43.092000000000006</v>
      </c>
      <c r="M35" s="3">
        <f t="shared" si="1"/>
        <v>43.092000000000006</v>
      </c>
      <c r="N35" s="3">
        <f t="shared" si="1"/>
        <v>43.092000000000006</v>
      </c>
      <c r="O35" s="3">
        <f t="shared" si="1"/>
        <v>43.092000000000006</v>
      </c>
      <c r="P35" s="62"/>
    </row>
    <row r="36" spans="1:16" ht="15" customHeight="1">
      <c r="A36" s="46" t="s">
        <v>58</v>
      </c>
      <c r="B36" s="3">
        <f t="shared" ref="B36:H36" si="2">$B$26</f>
        <v>541.70000000000005</v>
      </c>
      <c r="C36" s="3">
        <f t="shared" si="2"/>
        <v>541.70000000000005</v>
      </c>
      <c r="D36" s="3">
        <f t="shared" si="2"/>
        <v>541.70000000000005</v>
      </c>
      <c r="E36" s="3">
        <f t="shared" si="2"/>
        <v>541.70000000000005</v>
      </c>
      <c r="F36" s="3">
        <f t="shared" si="2"/>
        <v>541.70000000000005</v>
      </c>
      <c r="G36" s="3">
        <f t="shared" si="2"/>
        <v>541.70000000000005</v>
      </c>
      <c r="H36" s="3">
        <f t="shared" si="2"/>
        <v>541.70000000000005</v>
      </c>
      <c r="I36" s="3">
        <f t="shared" ref="I36:O36" si="3">$C$26</f>
        <v>750</v>
      </c>
      <c r="J36" s="3">
        <f t="shared" si="3"/>
        <v>750</v>
      </c>
      <c r="K36" s="3">
        <f t="shared" si="3"/>
        <v>750</v>
      </c>
      <c r="L36" s="3">
        <f t="shared" si="3"/>
        <v>750</v>
      </c>
      <c r="M36" s="3">
        <f t="shared" si="3"/>
        <v>750</v>
      </c>
      <c r="N36" s="3">
        <f t="shared" si="3"/>
        <v>750</v>
      </c>
      <c r="O36" s="3">
        <f t="shared" si="3"/>
        <v>750</v>
      </c>
      <c r="P36" s="62"/>
    </row>
    <row r="37" spans="1:16" ht="15" customHeight="1">
      <c r="A37" s="46" t="s">
        <v>59</v>
      </c>
      <c r="B37" s="3">
        <v>1000</v>
      </c>
      <c r="C37" s="3">
        <v>1000</v>
      </c>
      <c r="D37" s="3">
        <v>1000</v>
      </c>
      <c r="E37" s="3">
        <v>1000</v>
      </c>
      <c r="F37" s="3">
        <v>1000</v>
      </c>
      <c r="G37" s="3">
        <v>1000</v>
      </c>
      <c r="H37" s="3">
        <v>1000</v>
      </c>
      <c r="I37" s="3">
        <v>1000</v>
      </c>
      <c r="J37" s="3">
        <v>1000</v>
      </c>
      <c r="K37" s="3">
        <v>1000</v>
      </c>
      <c r="L37" s="3">
        <v>1000</v>
      </c>
      <c r="M37" s="3">
        <v>1000</v>
      </c>
      <c r="N37" s="3">
        <v>1000</v>
      </c>
      <c r="O37" s="3">
        <v>1000</v>
      </c>
      <c r="P37" s="62"/>
    </row>
    <row r="38" spans="1:16" ht="15" customHeight="1">
      <c r="A38" s="46" t="s">
        <v>60</v>
      </c>
      <c r="B38" s="3">
        <f>B37-B36</f>
        <v>458.29999999999995</v>
      </c>
      <c r="C38" s="3">
        <f t="shared" ref="C38:O38" si="4">C37-C36</f>
        <v>458.29999999999995</v>
      </c>
      <c r="D38" s="3">
        <f t="shared" si="4"/>
        <v>458.29999999999995</v>
      </c>
      <c r="E38" s="3">
        <f t="shared" si="4"/>
        <v>458.29999999999995</v>
      </c>
      <c r="F38" s="3">
        <f t="shared" si="4"/>
        <v>458.29999999999995</v>
      </c>
      <c r="G38" s="3">
        <f t="shared" si="4"/>
        <v>458.29999999999995</v>
      </c>
      <c r="H38" s="3">
        <f t="shared" si="4"/>
        <v>458.29999999999995</v>
      </c>
      <c r="I38" s="3">
        <f t="shared" si="4"/>
        <v>250</v>
      </c>
      <c r="J38" s="3">
        <f t="shared" si="4"/>
        <v>250</v>
      </c>
      <c r="K38" s="3">
        <f t="shared" si="4"/>
        <v>250</v>
      </c>
      <c r="L38" s="3">
        <f t="shared" si="4"/>
        <v>250</v>
      </c>
      <c r="M38" s="3">
        <f t="shared" si="4"/>
        <v>250</v>
      </c>
      <c r="N38" s="3">
        <f t="shared" si="4"/>
        <v>250</v>
      </c>
      <c r="O38" s="3">
        <f t="shared" si="4"/>
        <v>250</v>
      </c>
      <c r="P38" s="62"/>
    </row>
    <row r="39" spans="1:16" s="24" customFormat="1">
      <c r="A39" s="205" t="s">
        <v>61</v>
      </c>
      <c r="B39" s="205"/>
      <c r="C39" s="205"/>
      <c r="D39" s="205"/>
      <c r="E39" s="205"/>
      <c r="F39" s="205"/>
      <c r="G39" s="205"/>
      <c r="H39" s="205"/>
      <c r="I39" s="205"/>
      <c r="J39" s="205"/>
      <c r="K39" s="205"/>
      <c r="L39" s="205"/>
      <c r="M39" s="205"/>
      <c r="N39" s="205"/>
      <c r="O39" s="205"/>
      <c r="P39" s="148"/>
    </row>
    <row r="40" spans="1:16">
      <c r="A40" s="46" t="s">
        <v>64</v>
      </c>
      <c r="B40" s="47">
        <f>100 *B46/B35</f>
        <v>4.5769146847043425</v>
      </c>
      <c r="C40" s="47">
        <v>4</v>
      </c>
      <c r="D40" s="47">
        <v>3.5</v>
      </c>
      <c r="E40" s="47">
        <v>3</v>
      </c>
      <c r="F40" s="47">
        <v>2</v>
      </c>
      <c r="G40" s="47">
        <v>1</v>
      </c>
      <c r="H40" s="47">
        <v>0.5</v>
      </c>
      <c r="I40" s="47">
        <f>100 *I46/I35</f>
        <v>8.6184000000000012</v>
      </c>
      <c r="J40" s="47">
        <v>5</v>
      </c>
      <c r="K40" s="47">
        <v>4</v>
      </c>
      <c r="L40" s="47">
        <v>3</v>
      </c>
      <c r="M40" s="47">
        <v>2</v>
      </c>
      <c r="N40" s="47">
        <v>1</v>
      </c>
      <c r="O40" s="47">
        <v>0.5</v>
      </c>
      <c r="P40" s="149"/>
    </row>
    <row r="41" spans="1:16">
      <c r="A41" s="46" t="s">
        <v>171</v>
      </c>
      <c r="B41" s="6">
        <f>B36+B35*(B45-B34)/2</f>
        <v>999.99999999999795</v>
      </c>
      <c r="C41" s="6">
        <f t="shared" ref="C41:O41" si="5">C36+C35*(C45-C34)/2</f>
        <v>1066.1000000000001</v>
      </c>
      <c r="D41" s="6">
        <f t="shared" si="5"/>
        <v>1141.0142857142832</v>
      </c>
      <c r="E41" s="6">
        <f t="shared" si="5"/>
        <v>1240.9000000000033</v>
      </c>
      <c r="F41" s="6">
        <f t="shared" si="5"/>
        <v>1590.5000000000002</v>
      </c>
      <c r="G41" s="6">
        <f t="shared" si="5"/>
        <v>2639.3</v>
      </c>
      <c r="H41" s="6">
        <f t="shared" si="5"/>
        <v>4736.9000000000005</v>
      </c>
      <c r="I41" s="6">
        <f t="shared" si="5"/>
        <v>1000.0000000000003</v>
      </c>
      <c r="J41" s="6">
        <f t="shared" si="5"/>
        <v>1180.92</v>
      </c>
      <c r="K41" s="6">
        <f t="shared" si="5"/>
        <v>1288.6500000000001</v>
      </c>
      <c r="L41" s="6">
        <f t="shared" si="5"/>
        <v>1468.2000000000035</v>
      </c>
      <c r="M41" s="6">
        <f t="shared" si="5"/>
        <v>1827.3000000000002</v>
      </c>
      <c r="N41" s="6">
        <f t="shared" si="5"/>
        <v>2904.6000000000004</v>
      </c>
      <c r="O41" s="6">
        <f t="shared" si="5"/>
        <v>5059.2000000000007</v>
      </c>
      <c r="P41" s="149"/>
    </row>
    <row r="42" spans="1:16">
      <c r="A42" s="46" t="s">
        <v>172</v>
      </c>
      <c r="B42" s="3">
        <v>0</v>
      </c>
      <c r="C42" s="6">
        <f>C35*C44/2 - C38</f>
        <v>66.100000000000136</v>
      </c>
      <c r="D42" s="6">
        <f t="shared" ref="D42:H42" si="6">D35*D44/2 - D38</f>
        <v>141.01428571428312</v>
      </c>
      <c r="E42" s="6">
        <f t="shared" si="6"/>
        <v>240.90000000000327</v>
      </c>
      <c r="F42" s="6">
        <f t="shared" si="6"/>
        <v>590.50000000000023</v>
      </c>
      <c r="G42" s="6">
        <f t="shared" si="6"/>
        <v>1639.3000000000004</v>
      </c>
      <c r="H42" s="6">
        <f t="shared" si="6"/>
        <v>3736.9000000000005</v>
      </c>
      <c r="I42" s="6">
        <v>0</v>
      </c>
      <c r="J42" s="6">
        <f t="shared" ref="J42:O42" si="7">J35*J44/2 - J38</f>
        <v>180.92000000000007</v>
      </c>
      <c r="K42" s="6">
        <f t="shared" si="7"/>
        <v>288.65000000000009</v>
      </c>
      <c r="L42" s="6">
        <f t="shared" si="7"/>
        <v>468.20000000000334</v>
      </c>
      <c r="M42" s="6">
        <f t="shared" si="7"/>
        <v>827.30000000000018</v>
      </c>
      <c r="N42" s="6">
        <f t="shared" si="7"/>
        <v>1904.6000000000004</v>
      </c>
      <c r="O42" s="6">
        <f t="shared" si="7"/>
        <v>4059.2000000000007</v>
      </c>
      <c r="P42" s="62"/>
    </row>
    <row r="43" spans="1:16">
      <c r="A43" s="46" t="s">
        <v>169</v>
      </c>
      <c r="B43" s="6">
        <f>B42*0.333</f>
        <v>0</v>
      </c>
      <c r="C43" s="6">
        <f>C42*0.333</f>
        <v>22.011300000000048</v>
      </c>
      <c r="D43" s="6">
        <f t="shared" ref="D43:O43" si="8">D42*0.333</f>
        <v>46.957757142856281</v>
      </c>
      <c r="E43" s="6">
        <f t="shared" si="8"/>
        <v>80.219700000001097</v>
      </c>
      <c r="F43" s="6">
        <f t="shared" si="8"/>
        <v>196.6365000000001</v>
      </c>
      <c r="G43" s="6">
        <f t="shared" si="8"/>
        <v>545.8869000000002</v>
      </c>
      <c r="H43" s="6">
        <f t="shared" si="8"/>
        <v>1244.3877000000002</v>
      </c>
      <c r="I43" s="6">
        <f t="shared" si="8"/>
        <v>0</v>
      </c>
      <c r="J43" s="6">
        <f t="shared" si="8"/>
        <v>60.246360000000024</v>
      </c>
      <c r="K43" s="6">
        <f t="shared" si="8"/>
        <v>96.120450000000034</v>
      </c>
      <c r="L43" s="6">
        <f t="shared" si="8"/>
        <v>155.91060000000112</v>
      </c>
      <c r="M43" s="6">
        <f t="shared" si="8"/>
        <v>275.49090000000007</v>
      </c>
      <c r="N43" s="6">
        <f t="shared" si="8"/>
        <v>634.23180000000013</v>
      </c>
      <c r="O43" s="6">
        <f t="shared" si="8"/>
        <v>1351.7136000000003</v>
      </c>
      <c r="P43" s="62"/>
    </row>
    <row r="44" spans="1:16">
      <c r="A44" s="46" t="s">
        <v>62</v>
      </c>
      <c r="B44" s="6">
        <f>(B38+B42)*2/B35</f>
        <v>21.848779557589623</v>
      </c>
      <c r="C44" s="6">
        <f>C45-C34</f>
        <v>25</v>
      </c>
      <c r="D44" s="6">
        <f t="shared" ref="D44:H44" si="9">D45-D34</f>
        <v>28.571428571428442</v>
      </c>
      <c r="E44" s="6">
        <f t="shared" si="9"/>
        <v>33.333333333333485</v>
      </c>
      <c r="F44" s="6">
        <f t="shared" si="9"/>
        <v>50</v>
      </c>
      <c r="G44" s="6">
        <f t="shared" si="9"/>
        <v>100</v>
      </c>
      <c r="H44" s="6">
        <f t="shared" si="9"/>
        <v>200</v>
      </c>
      <c r="I44" s="6">
        <f>(I38+I42)*2/I35</f>
        <v>11.603081778520373</v>
      </c>
      <c r="J44" s="6">
        <f t="shared" ref="J44:O44" si="10">J45-J34</f>
        <v>20</v>
      </c>
      <c r="K44" s="6">
        <f t="shared" si="10"/>
        <v>25</v>
      </c>
      <c r="L44" s="6">
        <f t="shared" si="10"/>
        <v>33.333333333333485</v>
      </c>
      <c r="M44" s="6">
        <f t="shared" si="10"/>
        <v>50</v>
      </c>
      <c r="N44" s="6">
        <f t="shared" si="10"/>
        <v>100</v>
      </c>
      <c r="O44" s="6">
        <f t="shared" si="10"/>
        <v>200</v>
      </c>
      <c r="P44" s="67"/>
    </row>
    <row r="45" spans="1:16">
      <c r="A45" s="46" t="s">
        <v>63</v>
      </c>
      <c r="B45" s="6">
        <f>B44+B34</f>
        <v>2046.8487795575895</v>
      </c>
      <c r="C45" s="6">
        <f t="shared" ref="C45:H45" si="11">C34+100/C40</f>
        <v>2050</v>
      </c>
      <c r="D45" s="6">
        <f t="shared" si="11"/>
        <v>2053.5714285714284</v>
      </c>
      <c r="E45" s="6">
        <f t="shared" si="11"/>
        <v>2058.3333333333335</v>
      </c>
      <c r="F45" s="6">
        <f t="shared" si="11"/>
        <v>2075</v>
      </c>
      <c r="G45" s="6">
        <f t="shared" si="11"/>
        <v>2125</v>
      </c>
      <c r="H45" s="6">
        <f t="shared" si="11"/>
        <v>2225</v>
      </c>
      <c r="I45" s="6">
        <f>I44+I34</f>
        <v>2041.6030817785204</v>
      </c>
      <c r="J45" s="6">
        <f t="shared" ref="J45:O45" si="12">J34+100/J40</f>
        <v>2050</v>
      </c>
      <c r="K45" s="6">
        <f t="shared" si="12"/>
        <v>2055</v>
      </c>
      <c r="L45" s="6">
        <f t="shared" si="12"/>
        <v>2063.3333333333335</v>
      </c>
      <c r="M45" s="6">
        <f t="shared" si="12"/>
        <v>2080</v>
      </c>
      <c r="N45" s="6">
        <f t="shared" si="12"/>
        <v>2130</v>
      </c>
      <c r="O45" s="6">
        <f t="shared" si="12"/>
        <v>2230</v>
      </c>
      <c r="P45" s="146"/>
    </row>
    <row r="46" spans="1:16">
      <c r="A46" s="46" t="s">
        <v>177</v>
      </c>
      <c r="B46" s="7">
        <f>B35/B44</f>
        <v>1.9201072485271662</v>
      </c>
      <c r="C46" s="7">
        <f t="shared" ref="C46:H46" si="13">C35*C40/100</f>
        <v>1.6780800000000002</v>
      </c>
      <c r="D46" s="7">
        <f t="shared" si="13"/>
        <v>1.4683200000000003</v>
      </c>
      <c r="E46" s="7">
        <f t="shared" si="13"/>
        <v>1.2585600000000001</v>
      </c>
      <c r="F46" s="7">
        <f t="shared" si="13"/>
        <v>0.83904000000000012</v>
      </c>
      <c r="G46" s="7">
        <f t="shared" si="13"/>
        <v>0.41952000000000006</v>
      </c>
      <c r="H46" s="7">
        <f t="shared" si="13"/>
        <v>0.20976000000000003</v>
      </c>
      <c r="I46" s="7">
        <f>I35/I44</f>
        <v>3.7138409280000011</v>
      </c>
      <c r="J46" s="7">
        <f t="shared" ref="J46:O46" si="14">J35*J40/100</f>
        <v>2.1546000000000003</v>
      </c>
      <c r="K46" s="7">
        <f t="shared" si="14"/>
        <v>1.7236800000000003</v>
      </c>
      <c r="L46" s="7">
        <f t="shared" si="14"/>
        <v>1.2927600000000001</v>
      </c>
      <c r="M46" s="7">
        <f t="shared" si="14"/>
        <v>0.86184000000000016</v>
      </c>
      <c r="N46" s="7">
        <f t="shared" si="14"/>
        <v>0.43092000000000008</v>
      </c>
      <c r="O46" s="7">
        <f t="shared" si="14"/>
        <v>0.21546000000000004</v>
      </c>
      <c r="P46" s="67"/>
    </row>
    <row r="47" spans="1:16" s="24" customFormat="1">
      <c r="A47" s="205" t="s">
        <v>65</v>
      </c>
      <c r="B47" s="205"/>
      <c r="C47" s="205"/>
      <c r="D47" s="205"/>
      <c r="E47" s="205"/>
      <c r="F47" s="205"/>
      <c r="G47" s="205"/>
      <c r="H47" s="205"/>
      <c r="I47" s="205"/>
      <c r="J47" s="205"/>
      <c r="K47" s="205"/>
      <c r="L47" s="205"/>
      <c r="M47" s="205"/>
      <c r="N47" s="205"/>
      <c r="O47" s="205"/>
      <c r="P47" s="148"/>
    </row>
    <row r="48" spans="1:16">
      <c r="A48" s="46" t="s">
        <v>66</v>
      </c>
      <c r="B48" s="3">
        <v>50</v>
      </c>
      <c r="C48" s="3">
        <v>50</v>
      </c>
      <c r="D48" s="3">
        <v>50</v>
      </c>
      <c r="E48" s="3">
        <v>50</v>
      </c>
      <c r="F48" s="3">
        <v>50</v>
      </c>
      <c r="G48" s="3">
        <v>50</v>
      </c>
      <c r="H48" s="3">
        <v>50</v>
      </c>
      <c r="I48" s="3">
        <v>50</v>
      </c>
      <c r="J48" s="3">
        <v>50</v>
      </c>
      <c r="K48" s="3">
        <v>50</v>
      </c>
      <c r="L48" s="3">
        <v>50</v>
      </c>
      <c r="M48" s="3">
        <v>50</v>
      </c>
      <c r="N48" s="3">
        <v>50</v>
      </c>
      <c r="O48" s="3">
        <v>50</v>
      </c>
      <c r="P48" s="62"/>
    </row>
    <row r="49" spans="1:16" s="4" customFormat="1">
      <c r="A49" s="48" t="s">
        <v>67</v>
      </c>
      <c r="B49" s="7">
        <f>B42*B48/1000</f>
        <v>0</v>
      </c>
      <c r="C49" s="7">
        <f>(C42 +C43)*C48/1000</f>
        <v>4.4055650000000099</v>
      </c>
      <c r="D49" s="7">
        <f t="shared" ref="D49:O49" si="15">(D42 +D43)*D48/1000</f>
        <v>9.3986021428569693</v>
      </c>
      <c r="E49" s="7">
        <f t="shared" si="15"/>
        <v>16.05598500000022</v>
      </c>
      <c r="F49" s="7">
        <f t="shared" si="15"/>
        <v>39.356825000000015</v>
      </c>
      <c r="G49" s="7">
        <f t="shared" si="15"/>
        <v>109.25934500000002</v>
      </c>
      <c r="H49" s="7">
        <f t="shared" si="15"/>
        <v>249.06438500000004</v>
      </c>
      <c r="I49" s="7">
        <f t="shared" si="15"/>
        <v>0</v>
      </c>
      <c r="J49" s="7">
        <f t="shared" si="15"/>
        <v>12.058318000000005</v>
      </c>
      <c r="K49" s="7">
        <f t="shared" si="15"/>
        <v>19.238522500000006</v>
      </c>
      <c r="L49" s="7">
        <f t="shared" si="15"/>
        <v>31.205530000000223</v>
      </c>
      <c r="M49" s="7">
        <f t="shared" si="15"/>
        <v>55.139545000000012</v>
      </c>
      <c r="N49" s="7">
        <f t="shared" si="15"/>
        <v>126.94159000000002</v>
      </c>
      <c r="O49" s="7">
        <f t="shared" si="15"/>
        <v>270.54568000000006</v>
      </c>
      <c r="P49" s="67"/>
    </row>
    <row r="50" spans="1:16" s="24" customFormat="1">
      <c r="A50" s="205" t="s">
        <v>68</v>
      </c>
      <c r="B50" s="205"/>
      <c r="C50" s="205"/>
      <c r="D50" s="205"/>
      <c r="E50" s="205"/>
      <c r="F50" s="205"/>
      <c r="G50" s="205"/>
      <c r="H50" s="205"/>
      <c r="I50" s="205"/>
      <c r="J50" s="205"/>
      <c r="K50" s="205"/>
      <c r="L50" s="205"/>
      <c r="M50" s="205"/>
      <c r="N50" s="205"/>
      <c r="O50" s="205"/>
      <c r="P50" s="148"/>
    </row>
    <row r="51" spans="1:16" s="2" customFormat="1">
      <c r="A51" s="49" t="s">
        <v>69</v>
      </c>
      <c r="B51" s="6">
        <f>B37+B42</f>
        <v>1000</v>
      </c>
      <c r="C51" s="6">
        <f t="shared" ref="C51:O51" si="16">C37+C42</f>
        <v>1066.1000000000001</v>
      </c>
      <c r="D51" s="6">
        <f t="shared" si="16"/>
        <v>1141.0142857142832</v>
      </c>
      <c r="E51" s="6">
        <f t="shared" si="16"/>
        <v>1240.9000000000033</v>
      </c>
      <c r="F51" s="6">
        <f t="shared" si="16"/>
        <v>1590.5000000000002</v>
      </c>
      <c r="G51" s="6">
        <f t="shared" si="16"/>
        <v>2639.3</v>
      </c>
      <c r="H51" s="6">
        <f t="shared" si="16"/>
        <v>4736.9000000000005</v>
      </c>
      <c r="I51" s="6">
        <f t="shared" si="16"/>
        <v>1000</v>
      </c>
      <c r="J51" s="6">
        <f t="shared" si="16"/>
        <v>1180.92</v>
      </c>
      <c r="K51" s="6">
        <f t="shared" si="16"/>
        <v>1288.6500000000001</v>
      </c>
      <c r="L51" s="6">
        <f t="shared" si="16"/>
        <v>1468.2000000000035</v>
      </c>
      <c r="M51" s="6">
        <f t="shared" si="16"/>
        <v>1827.3000000000002</v>
      </c>
      <c r="N51" s="6">
        <f t="shared" si="16"/>
        <v>2904.6000000000004</v>
      </c>
      <c r="O51" s="6">
        <f t="shared" si="16"/>
        <v>5059.2000000000007</v>
      </c>
      <c r="P51" s="146"/>
    </row>
    <row r="52" spans="1:16" s="26" customFormat="1">
      <c r="A52" s="50" t="s">
        <v>70</v>
      </c>
      <c r="B52" s="47">
        <f t="shared" ref="B52:O52" si="17">$M$18*B51*B51+$N$18*B51+$O$18</f>
        <v>2.0000032000000001</v>
      </c>
      <c r="C52" s="47">
        <f t="shared" si="17"/>
        <v>2.0524657703578022</v>
      </c>
      <c r="D52" s="47">
        <f t="shared" si="17"/>
        <v>2.1112952974870276</v>
      </c>
      <c r="E52" s="47">
        <f t="shared" si="17"/>
        <v>2.1886953800841242</v>
      </c>
      <c r="F52" s="47">
        <f t="shared" si="17"/>
        <v>2.4502420869970503</v>
      </c>
      <c r="G52" s="47">
        <f t="shared" si="17"/>
        <v>3.1475821074181383</v>
      </c>
      <c r="H52" s="47">
        <f t="shared" si="17"/>
        <v>4.1494116968306818</v>
      </c>
      <c r="I52" s="47">
        <f t="shared" si="17"/>
        <v>2.0000032000000001</v>
      </c>
      <c r="J52" s="47">
        <f t="shared" si="17"/>
        <v>2.1423601660644955</v>
      </c>
      <c r="K52" s="47">
        <f t="shared" si="17"/>
        <v>2.2252765868832745</v>
      </c>
      <c r="L52" s="47">
        <f t="shared" si="17"/>
        <v>2.3604003170724903</v>
      </c>
      <c r="M52" s="47">
        <f t="shared" si="17"/>
        <v>2.6191341355430984</v>
      </c>
      <c r="N52" s="47">
        <f t="shared" si="17"/>
        <v>3.3032264556923927</v>
      </c>
      <c r="O52" s="47">
        <f t="shared" si="17"/>
        <v>4.2569199873095682</v>
      </c>
      <c r="P52" s="149"/>
    </row>
    <row r="53" spans="1:16" s="24" customFormat="1">
      <c r="A53" s="205" t="s">
        <v>153</v>
      </c>
      <c r="B53" s="205"/>
      <c r="C53" s="205"/>
      <c r="D53" s="205"/>
      <c r="E53" s="205"/>
      <c r="F53" s="205"/>
      <c r="G53" s="205"/>
      <c r="H53" s="205"/>
      <c r="I53" s="205"/>
      <c r="J53" s="205"/>
      <c r="K53" s="205"/>
      <c r="L53" s="205"/>
      <c r="M53" s="205"/>
      <c r="N53" s="205"/>
      <c r="O53" s="205"/>
      <c r="P53" s="148"/>
    </row>
    <row r="54" spans="1:16" s="2" customFormat="1">
      <c r="A54" s="49" t="s">
        <v>152</v>
      </c>
      <c r="B54" s="6">
        <v>400</v>
      </c>
      <c r="C54" s="6">
        <v>400</v>
      </c>
      <c r="D54" s="6">
        <v>400</v>
      </c>
      <c r="E54" s="6">
        <v>400</v>
      </c>
      <c r="F54" s="6">
        <v>400</v>
      </c>
      <c r="G54" s="6">
        <v>400</v>
      </c>
      <c r="H54" s="6">
        <v>400</v>
      </c>
      <c r="I54" s="6">
        <v>400</v>
      </c>
      <c r="J54" s="6">
        <v>400</v>
      </c>
      <c r="K54" s="6">
        <v>400</v>
      </c>
      <c r="L54" s="6">
        <v>400</v>
      </c>
      <c r="M54" s="6">
        <v>400</v>
      </c>
      <c r="N54" s="6">
        <v>400</v>
      </c>
      <c r="O54" s="6">
        <v>400</v>
      </c>
      <c r="P54" s="146"/>
    </row>
    <row r="55" spans="1:16" s="2" customFormat="1">
      <c r="A55" s="49" t="s">
        <v>71</v>
      </c>
      <c r="B55" s="6">
        <f>B54+B42+B43</f>
        <v>400</v>
      </c>
      <c r="C55" s="6">
        <f t="shared" ref="C55:O55" si="18">C54+C42+C43</f>
        <v>488.1113000000002</v>
      </c>
      <c r="D55" s="6">
        <f t="shared" si="18"/>
        <v>587.9720428571394</v>
      </c>
      <c r="E55" s="6">
        <f t="shared" si="18"/>
        <v>721.1197000000044</v>
      </c>
      <c r="F55" s="6">
        <f t="shared" si="18"/>
        <v>1187.1365000000003</v>
      </c>
      <c r="G55" s="6">
        <f t="shared" si="18"/>
        <v>2585.1869000000006</v>
      </c>
      <c r="H55" s="6">
        <f t="shared" si="18"/>
        <v>5381.2877000000008</v>
      </c>
      <c r="I55" s="6">
        <f t="shared" si="18"/>
        <v>400</v>
      </c>
      <c r="J55" s="6">
        <f t="shared" si="18"/>
        <v>641.16636000000005</v>
      </c>
      <c r="K55" s="6">
        <f t="shared" si="18"/>
        <v>784.7704500000001</v>
      </c>
      <c r="L55" s="6">
        <f t="shared" si="18"/>
        <v>1024.1106000000045</v>
      </c>
      <c r="M55" s="6">
        <f t="shared" si="18"/>
        <v>1502.7909000000002</v>
      </c>
      <c r="N55" s="6">
        <f t="shared" si="18"/>
        <v>2938.8318000000004</v>
      </c>
      <c r="O55" s="6">
        <f t="shared" si="18"/>
        <v>5810.9136000000008</v>
      </c>
      <c r="P55" s="146"/>
    </row>
    <row r="56" spans="1:16" s="4" customFormat="1">
      <c r="A56" s="48" t="s">
        <v>67</v>
      </c>
      <c r="B56" s="7">
        <f t="shared" ref="B56:O56" si="19">B55*B48/1000</f>
        <v>20</v>
      </c>
      <c r="C56" s="7">
        <f t="shared" si="19"/>
        <v>24.40556500000001</v>
      </c>
      <c r="D56" s="7">
        <f t="shared" si="19"/>
        <v>29.398602142856969</v>
      </c>
      <c r="E56" s="7">
        <f t="shared" si="19"/>
        <v>36.05598500000022</v>
      </c>
      <c r="F56" s="7">
        <f t="shared" si="19"/>
        <v>59.356825000000015</v>
      </c>
      <c r="G56" s="7">
        <f t="shared" si="19"/>
        <v>129.25934500000002</v>
      </c>
      <c r="H56" s="7">
        <f t="shared" si="19"/>
        <v>269.06438500000002</v>
      </c>
      <c r="I56" s="7">
        <f t="shared" si="19"/>
        <v>20</v>
      </c>
      <c r="J56" s="7">
        <f t="shared" si="19"/>
        <v>32.058318</v>
      </c>
      <c r="K56" s="7">
        <f t="shared" si="19"/>
        <v>39.238522500000009</v>
      </c>
      <c r="L56" s="7">
        <f t="shared" si="19"/>
        <v>51.205530000000223</v>
      </c>
      <c r="M56" s="7">
        <f t="shared" si="19"/>
        <v>75.139545000000012</v>
      </c>
      <c r="N56" s="7">
        <f t="shared" si="19"/>
        <v>146.94159000000002</v>
      </c>
      <c r="O56" s="7">
        <f t="shared" si="19"/>
        <v>290.54568000000006</v>
      </c>
      <c r="P56" s="67"/>
    </row>
    <row r="57" spans="1:16" s="2" customFormat="1">
      <c r="A57" s="49" t="s">
        <v>72</v>
      </c>
      <c r="B57" s="6">
        <f t="shared" ref="B57:O57" si="20">B55+B37</f>
        <v>1400</v>
      </c>
      <c r="C57" s="6">
        <f t="shared" si="20"/>
        <v>1488.1113000000003</v>
      </c>
      <c r="D57" s="6">
        <f t="shared" si="20"/>
        <v>1587.9720428571395</v>
      </c>
      <c r="E57" s="6">
        <f t="shared" si="20"/>
        <v>1721.1197000000043</v>
      </c>
      <c r="F57" s="6">
        <f t="shared" si="20"/>
        <v>2187.1365000000005</v>
      </c>
      <c r="G57" s="6">
        <f t="shared" si="20"/>
        <v>3585.1869000000006</v>
      </c>
      <c r="H57" s="6">
        <f t="shared" si="20"/>
        <v>6381.2877000000008</v>
      </c>
      <c r="I57" s="6">
        <f t="shared" si="20"/>
        <v>1400</v>
      </c>
      <c r="J57" s="6">
        <f t="shared" si="20"/>
        <v>1641.1663600000002</v>
      </c>
      <c r="K57" s="6">
        <f t="shared" si="20"/>
        <v>1784.77045</v>
      </c>
      <c r="L57" s="6">
        <f t="shared" si="20"/>
        <v>2024.1106000000045</v>
      </c>
      <c r="M57" s="6">
        <f t="shared" si="20"/>
        <v>2502.7909</v>
      </c>
      <c r="N57" s="6">
        <f t="shared" si="20"/>
        <v>3938.8318000000004</v>
      </c>
      <c r="O57" s="6">
        <f t="shared" si="20"/>
        <v>6810.9136000000008</v>
      </c>
      <c r="P57" s="146"/>
    </row>
    <row r="58" spans="1:16" s="26" customFormat="1">
      <c r="A58" s="50" t="s">
        <v>70</v>
      </c>
      <c r="B58" s="47">
        <f>$M$18*B57*B57+$N$18*B57+$O$18</f>
        <v>2.3095271520000002</v>
      </c>
      <c r="C58" s="47">
        <f t="shared" ref="C58:O58" si="21">$M$18*C57*C57+$N$18*C57+$O$18</f>
        <v>2.3751485396756924</v>
      </c>
      <c r="D58" s="47">
        <f t="shared" si="21"/>
        <v>2.4484030682864493</v>
      </c>
      <c r="E58" s="47">
        <f t="shared" si="21"/>
        <v>2.5442290756251644</v>
      </c>
      <c r="F58" s="47">
        <f t="shared" si="21"/>
        <v>2.8629998240299246</v>
      </c>
      <c r="G58" s="47">
        <f t="shared" si="21"/>
        <v>3.6641894812908005</v>
      </c>
      <c r="H58" s="47">
        <f t="shared" si="21"/>
        <v>4.5685171500222062</v>
      </c>
      <c r="I58" s="47">
        <f t="shared" si="21"/>
        <v>2.3095271520000002</v>
      </c>
      <c r="J58" s="47">
        <f t="shared" si="21"/>
        <v>2.4869400323978743</v>
      </c>
      <c r="K58" s="47">
        <f t="shared" si="21"/>
        <v>2.5892927306658455</v>
      </c>
      <c r="L58" s="47">
        <f t="shared" si="21"/>
        <v>2.7544249708042168</v>
      </c>
      <c r="M58" s="47">
        <f t="shared" si="21"/>
        <v>3.0642309874250118</v>
      </c>
      <c r="N58" s="47">
        <f t="shared" si="21"/>
        <v>3.8299813280398922</v>
      </c>
      <c r="O58" s="47">
        <f t="shared" si="21"/>
        <v>4.6249773176558486</v>
      </c>
      <c r="P58" s="149"/>
    </row>
    <row r="59" spans="1:16" s="24" customFormat="1">
      <c r="A59" s="205"/>
      <c r="B59" s="205"/>
      <c r="C59" s="205"/>
      <c r="D59" s="205"/>
      <c r="E59" s="205"/>
      <c r="F59" s="205"/>
      <c r="G59" s="205"/>
      <c r="H59" s="205"/>
      <c r="I59" s="205"/>
      <c r="J59" s="205"/>
      <c r="K59" s="205"/>
      <c r="L59" s="205"/>
      <c r="M59" s="205"/>
      <c r="N59" s="205"/>
      <c r="O59" s="205"/>
      <c r="P59" s="148"/>
    </row>
    <row r="60" spans="1:16">
      <c r="A60" s="202" t="str">
        <f>"+Once the 2 degree C  target is reached the carbon equivalent of all GHG emissions needs to be captured and sequestered"</f>
        <v>+Once the 2 degree C  target is reached the carbon equivalent of all GHG emissions needs to be captured and sequestered</v>
      </c>
      <c r="B60" s="202"/>
      <c r="C60" s="202"/>
      <c r="D60" s="202"/>
      <c r="E60" s="202"/>
      <c r="F60" s="202"/>
      <c r="G60" s="202"/>
      <c r="H60" s="202"/>
      <c r="I60" s="202"/>
      <c r="J60" s="202"/>
      <c r="K60" s="202"/>
      <c r="L60" s="202"/>
      <c r="M60" s="202"/>
      <c r="N60" s="202"/>
      <c r="O60" s="202"/>
    </row>
    <row r="61" spans="1:16">
      <c r="A61" s="202" t="s">
        <v>170</v>
      </c>
      <c r="B61" s="202"/>
      <c r="C61" s="202"/>
      <c r="D61" s="202"/>
      <c r="E61" s="202"/>
      <c r="F61" s="202"/>
      <c r="G61" s="202"/>
      <c r="H61" s="202"/>
      <c r="I61" s="202"/>
      <c r="J61" s="202"/>
      <c r="K61" s="202"/>
      <c r="L61" s="202"/>
      <c r="M61" s="202"/>
      <c r="N61" s="202"/>
      <c r="O61" s="202"/>
    </row>
  </sheetData>
  <mergeCells count="15">
    <mergeCell ref="A7:D7"/>
    <mergeCell ref="B8:D8"/>
    <mergeCell ref="B21:C21"/>
    <mergeCell ref="A33:O33"/>
    <mergeCell ref="A39:O39"/>
    <mergeCell ref="A29:O29"/>
    <mergeCell ref="A60:O60"/>
    <mergeCell ref="A61:O61"/>
    <mergeCell ref="A30:O30"/>
    <mergeCell ref="A31:O31"/>
    <mergeCell ref="A32:O32"/>
    <mergeCell ref="A59:O59"/>
    <mergeCell ref="A50:O50"/>
    <mergeCell ref="A53:O53"/>
    <mergeCell ref="A47:O47"/>
  </mergeCells>
  <hyperlinks>
    <hyperlink ref="B14" r:id="rId1"/>
    <hyperlink ref="B6" r:id="rId2" location="gid=0"/>
    <hyperlink ref="A2" r:id="rId3"/>
  </hyperlinks>
  <pageMargins left="0.7" right="0.7" top="0.75" bottom="0.75" header="0.3" footer="0.3"/>
  <pageSetup orientation="portrait" verticalDpi="0" r:id="rId4"/>
</worksheet>
</file>

<file path=xl/worksheets/sheet7.xml><?xml version="1.0" encoding="utf-8"?>
<worksheet xmlns="http://schemas.openxmlformats.org/spreadsheetml/2006/main" xmlns:r="http://schemas.openxmlformats.org/officeDocument/2006/relationships">
  <dimension ref="A1:S27"/>
  <sheetViews>
    <sheetView workbookViewId="0">
      <selection activeCell="L1" sqref="L1:L1048576"/>
    </sheetView>
  </sheetViews>
  <sheetFormatPr defaultRowHeight="15"/>
  <cols>
    <col min="2" max="2" width="11" customWidth="1"/>
    <col min="19" max="19" width="28" customWidth="1"/>
  </cols>
  <sheetData>
    <row r="1" spans="1:19" ht="15" customHeight="1">
      <c r="A1" t="s">
        <v>108</v>
      </c>
      <c r="N1" s="1" t="s">
        <v>127</v>
      </c>
    </row>
    <row r="2" spans="1:19" ht="15" customHeight="1" thickBot="1">
      <c r="A2" s="1" t="s">
        <v>110</v>
      </c>
      <c r="N2" s="33" t="s">
        <v>122</v>
      </c>
    </row>
    <row r="3" spans="1:19" ht="15" customHeight="1" thickTop="1" thickBot="1">
      <c r="A3" s="1" t="s">
        <v>111</v>
      </c>
      <c r="B3" s="93" t="s">
        <v>106</v>
      </c>
      <c r="C3" s="94">
        <v>1990</v>
      </c>
      <c r="D3" s="94">
        <v>1995</v>
      </c>
      <c r="E3" s="94">
        <v>2000</v>
      </c>
      <c r="F3" s="94">
        <v>2005</v>
      </c>
      <c r="G3" s="94">
        <v>2010</v>
      </c>
      <c r="H3" s="94">
        <v>2015</v>
      </c>
      <c r="I3" s="95">
        <v>2020</v>
      </c>
      <c r="N3" s="102"/>
      <c r="O3" s="103" t="s">
        <v>113</v>
      </c>
      <c r="P3" s="116">
        <v>20</v>
      </c>
      <c r="Q3" s="116">
        <v>100</v>
      </c>
      <c r="R3" s="116">
        <v>500</v>
      </c>
      <c r="S3" s="15"/>
    </row>
    <row r="4" spans="1:19" ht="15" customHeight="1" thickBot="1">
      <c r="A4">
        <v>21</v>
      </c>
      <c r="B4" s="96" t="s">
        <v>105</v>
      </c>
      <c r="C4" s="97">
        <v>5816.0656394542548</v>
      </c>
      <c r="D4" s="97">
        <v>5845.5685685990884</v>
      </c>
      <c r="E4" s="97">
        <v>6020.1579259271421</v>
      </c>
      <c r="F4" s="97">
        <v>6407.4938273007074</v>
      </c>
      <c r="G4" s="97">
        <v>6875.1419850379134</v>
      </c>
      <c r="H4" s="97">
        <v>7358.4259745696918</v>
      </c>
      <c r="I4" s="98">
        <v>7904.2205284932816</v>
      </c>
      <c r="N4" s="115"/>
      <c r="O4" s="104" t="s">
        <v>114</v>
      </c>
      <c r="P4" s="105" t="s">
        <v>126</v>
      </c>
      <c r="Q4" s="105" t="s">
        <v>126</v>
      </c>
      <c r="R4" s="105" t="s">
        <v>126</v>
      </c>
      <c r="S4" s="106" t="s">
        <v>115</v>
      </c>
    </row>
    <row r="5" spans="1:19" ht="15" customHeight="1">
      <c r="A5">
        <v>310</v>
      </c>
      <c r="B5" s="73" t="s">
        <v>107</v>
      </c>
      <c r="C5" s="99">
        <v>2871.2753090021488</v>
      </c>
      <c r="D5" s="99">
        <v>2914.858573804172</v>
      </c>
      <c r="E5" s="99">
        <v>3113.7639529018847</v>
      </c>
      <c r="F5" s="99">
        <v>3285.6294379664205</v>
      </c>
      <c r="G5" s="99">
        <v>3514.8769140176482</v>
      </c>
      <c r="H5" s="99">
        <v>3764.0288960720291</v>
      </c>
      <c r="I5" s="99">
        <v>4057.8373086348502</v>
      </c>
      <c r="N5" s="214" t="s">
        <v>123</v>
      </c>
      <c r="O5" s="217" t="s">
        <v>116</v>
      </c>
      <c r="P5" s="107">
        <v>1</v>
      </c>
      <c r="Q5" s="108">
        <v>1</v>
      </c>
      <c r="R5" s="107" t="s">
        <v>117</v>
      </c>
      <c r="S5" s="109" t="s">
        <v>118</v>
      </c>
    </row>
    <row r="6" spans="1:19" ht="15" customHeight="1">
      <c r="B6" s="73" t="s">
        <v>109</v>
      </c>
      <c r="C6" s="99">
        <v>239.14179637646683</v>
      </c>
      <c r="D6" s="99">
        <v>258.18889233613845</v>
      </c>
      <c r="E6" s="99">
        <v>380.04465228340899</v>
      </c>
      <c r="F6" s="99">
        <v>503.40599914676807</v>
      </c>
      <c r="G6" s="99">
        <v>601.50292636334871</v>
      </c>
      <c r="H6" s="99">
        <v>792.37323833933669</v>
      </c>
      <c r="I6" s="99">
        <v>935.35504958571232</v>
      </c>
      <c r="N6" s="215"/>
      <c r="O6" s="218"/>
      <c r="P6" s="110">
        <v>1</v>
      </c>
      <c r="Q6" s="111">
        <v>1</v>
      </c>
      <c r="R6" s="110">
        <v>1</v>
      </c>
      <c r="S6" s="112" t="s">
        <v>119</v>
      </c>
    </row>
    <row r="7" spans="1:19" ht="15" customHeight="1">
      <c r="B7" s="100" t="s">
        <v>11</v>
      </c>
      <c r="C7" s="101">
        <v>8926.4827448328724</v>
      </c>
      <c r="D7" s="101">
        <v>9018.6160347393998</v>
      </c>
      <c r="E7" s="101">
        <v>9513.9665311124354</v>
      </c>
      <c r="F7" s="101">
        <v>10196.529264413894</v>
      </c>
      <c r="G7" s="101">
        <v>10991.521825418911</v>
      </c>
      <c r="H7" s="101">
        <v>11914.828108981057</v>
      </c>
      <c r="I7" s="101">
        <v>12897.412886713844</v>
      </c>
      <c r="N7" s="215"/>
      <c r="O7" s="218"/>
      <c r="P7" s="110">
        <v>1</v>
      </c>
      <c r="Q7" s="110">
        <v>1</v>
      </c>
      <c r="R7" s="110">
        <v>1</v>
      </c>
      <c r="S7" s="112" t="s">
        <v>120</v>
      </c>
    </row>
    <row r="8" spans="1:19" ht="15" customHeight="1">
      <c r="N8" s="216"/>
      <c r="O8" s="219"/>
      <c r="P8" s="113">
        <v>1</v>
      </c>
      <c r="Q8" s="113">
        <v>1</v>
      </c>
      <c r="R8" s="113">
        <v>1</v>
      </c>
      <c r="S8" s="114" t="s">
        <v>121</v>
      </c>
    </row>
    <row r="9" spans="1:19" ht="15" customHeight="1">
      <c r="N9" s="214" t="s">
        <v>124</v>
      </c>
      <c r="O9" s="107">
        <v>12.4</v>
      </c>
      <c r="P9" s="107">
        <v>84</v>
      </c>
      <c r="Q9" s="108">
        <v>28</v>
      </c>
      <c r="R9" s="107" t="s">
        <v>117</v>
      </c>
      <c r="S9" s="109" t="s">
        <v>118</v>
      </c>
    </row>
    <row r="10" spans="1:19" ht="15" customHeight="1">
      <c r="A10" s="1"/>
      <c r="G10" s="1"/>
      <c r="H10" s="1"/>
      <c r="I10" s="1"/>
      <c r="N10" s="215"/>
      <c r="O10" s="110">
        <v>12</v>
      </c>
      <c r="P10" s="110">
        <v>72</v>
      </c>
      <c r="Q10" s="111">
        <v>25</v>
      </c>
      <c r="R10" s="110">
        <v>7.6</v>
      </c>
      <c r="S10" s="112" t="s">
        <v>119</v>
      </c>
    </row>
    <row r="11" spans="1:19" ht="15" customHeight="1">
      <c r="A11" s="1"/>
      <c r="N11" s="215"/>
      <c r="O11" s="110">
        <v>12</v>
      </c>
      <c r="P11" s="110">
        <v>62</v>
      </c>
      <c r="Q11" s="110">
        <v>23</v>
      </c>
      <c r="R11" s="110">
        <v>7</v>
      </c>
      <c r="S11" s="112" t="s">
        <v>120</v>
      </c>
    </row>
    <row r="12" spans="1:19" ht="15" customHeight="1">
      <c r="A12" s="1"/>
      <c r="G12" s="1"/>
      <c r="N12" s="216"/>
      <c r="O12" s="113">
        <v>12</v>
      </c>
      <c r="P12" s="113">
        <v>56</v>
      </c>
      <c r="Q12" s="113">
        <v>21</v>
      </c>
      <c r="R12" s="113">
        <v>6.5</v>
      </c>
      <c r="S12" s="114" t="s">
        <v>121</v>
      </c>
    </row>
    <row r="13" spans="1:19" ht="15" customHeight="1">
      <c r="A13" s="1"/>
      <c r="G13" s="1"/>
      <c r="N13" s="214" t="s">
        <v>125</v>
      </c>
      <c r="O13" s="107">
        <v>121</v>
      </c>
      <c r="P13" s="107">
        <v>264</v>
      </c>
      <c r="Q13" s="108">
        <v>265</v>
      </c>
      <c r="R13" s="107" t="s">
        <v>117</v>
      </c>
      <c r="S13" s="109" t="s">
        <v>118</v>
      </c>
    </row>
    <row r="14" spans="1:19" ht="15" customHeight="1">
      <c r="N14" s="215"/>
      <c r="O14" s="110">
        <v>114</v>
      </c>
      <c r="P14" s="110">
        <v>289</v>
      </c>
      <c r="Q14" s="111">
        <v>298</v>
      </c>
      <c r="R14" s="110">
        <v>153</v>
      </c>
      <c r="S14" s="112" t="s">
        <v>119</v>
      </c>
    </row>
    <row r="15" spans="1:19" ht="15" customHeight="1">
      <c r="N15" s="215"/>
      <c r="O15" s="110">
        <v>114</v>
      </c>
      <c r="P15" s="110">
        <v>275</v>
      </c>
      <c r="Q15" s="110">
        <v>296</v>
      </c>
      <c r="R15" s="110">
        <v>156</v>
      </c>
      <c r="S15" s="112" t="s">
        <v>120</v>
      </c>
    </row>
    <row r="16" spans="1:19" ht="15" customHeight="1">
      <c r="A16" s="117"/>
      <c r="N16" s="216"/>
      <c r="O16" s="113">
        <v>120</v>
      </c>
      <c r="P16" s="113">
        <v>280</v>
      </c>
      <c r="Q16" s="113">
        <v>310</v>
      </c>
      <c r="R16" s="113">
        <v>170</v>
      </c>
      <c r="S16" s="114" t="s">
        <v>121</v>
      </c>
    </row>
    <row r="17" spans="1:16">
      <c r="N17" s="1" t="s">
        <v>128</v>
      </c>
    </row>
    <row r="19" spans="1:16">
      <c r="N19" s="1" t="s">
        <v>50</v>
      </c>
      <c r="O19" s="1"/>
      <c r="P19" t="s">
        <v>112</v>
      </c>
    </row>
    <row r="20" spans="1:16">
      <c r="J20" s="35"/>
    </row>
    <row r="23" spans="1:16">
      <c r="A23" s="1"/>
      <c r="B23" s="1"/>
      <c r="C23" s="1"/>
      <c r="D23" s="1"/>
      <c r="E23" s="1"/>
      <c r="F23" s="1"/>
      <c r="G23" s="1"/>
      <c r="H23" s="1"/>
      <c r="I23" s="1"/>
      <c r="J23" s="1"/>
    </row>
    <row r="24" spans="1:16">
      <c r="A24" s="1"/>
      <c r="B24" s="1"/>
      <c r="C24" s="1"/>
      <c r="D24" s="1"/>
      <c r="E24" s="1"/>
      <c r="F24" s="1"/>
      <c r="G24" s="1"/>
      <c r="H24" s="1"/>
      <c r="I24" s="1"/>
      <c r="J24" s="1"/>
    </row>
    <row r="25" spans="1:16">
      <c r="A25" s="1"/>
      <c r="B25" s="1"/>
      <c r="C25" s="1"/>
      <c r="D25" s="1"/>
      <c r="E25" s="1"/>
      <c r="F25" s="1"/>
      <c r="G25" s="1"/>
      <c r="H25" s="1"/>
      <c r="I25" s="1"/>
      <c r="J25" s="1"/>
    </row>
    <row r="26" spans="1:16">
      <c r="A26" s="1"/>
      <c r="B26" s="1"/>
      <c r="C26" s="1"/>
      <c r="D26" s="1"/>
      <c r="E26" s="1"/>
      <c r="F26" s="1"/>
      <c r="G26" s="1"/>
      <c r="H26" s="1"/>
      <c r="I26" s="1"/>
      <c r="J26" s="1"/>
    </row>
    <row r="27" spans="1:16">
      <c r="A27" s="1"/>
      <c r="B27" s="1"/>
      <c r="C27" s="1"/>
      <c r="D27" s="1"/>
      <c r="E27" s="1"/>
      <c r="F27" s="1"/>
      <c r="G27" s="1"/>
      <c r="H27" s="1"/>
      <c r="I27" s="1"/>
      <c r="J27" s="1"/>
    </row>
  </sheetData>
  <mergeCells count="4">
    <mergeCell ref="N5:N8"/>
    <mergeCell ref="O5:O8"/>
    <mergeCell ref="N9:N12"/>
    <mergeCell ref="N13: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2:AI70"/>
  <sheetViews>
    <sheetView zoomScale="85" zoomScaleNormal="85" workbookViewId="0">
      <selection activeCell="B102" sqref="B102"/>
    </sheetView>
  </sheetViews>
  <sheetFormatPr defaultRowHeight="15"/>
  <cols>
    <col min="1" max="1" width="28.85546875" style="15" customWidth="1"/>
    <col min="2" max="2" width="10.85546875" style="15" customWidth="1"/>
    <col min="3" max="4" width="9.140625" style="63"/>
    <col min="5" max="8" width="9.140625" style="15"/>
    <col min="9" max="9" width="13.140625" style="15" customWidth="1"/>
    <col min="10" max="10" width="11.42578125" style="15" customWidth="1"/>
    <col min="11" max="11" width="10" style="15" customWidth="1"/>
    <col min="12" max="13" width="9.85546875" style="73" bestFit="1" customWidth="1"/>
    <col min="14" max="17" width="9.85546875" style="73" customWidth="1"/>
    <col min="18" max="18" width="9.85546875" style="15" bestFit="1" customWidth="1"/>
    <col min="19" max="22" width="10.5703125" style="120" customWidth="1"/>
    <col min="23" max="29" width="9.140625" style="15"/>
    <col min="30" max="30" width="5.7109375" style="63" bestFit="1" customWidth="1"/>
    <col min="31" max="16384" width="9.140625" style="15"/>
  </cols>
  <sheetData>
    <row r="2" spans="1:35">
      <c r="AF2" s="1" t="s">
        <v>131</v>
      </c>
      <c r="AH2" s="1" t="s">
        <v>134</v>
      </c>
    </row>
    <row r="3" spans="1:35" s="136" customFormat="1" ht="29.25" customHeight="1">
      <c r="C3" s="136" t="s">
        <v>35</v>
      </c>
      <c r="D3" s="137" t="s">
        <v>142</v>
      </c>
      <c r="E3" s="136" t="s">
        <v>36</v>
      </c>
      <c r="F3" s="136" t="s">
        <v>37</v>
      </c>
      <c r="G3" s="136" t="s">
        <v>38</v>
      </c>
      <c r="H3" s="137" t="s">
        <v>139</v>
      </c>
      <c r="I3" s="137" t="s">
        <v>149</v>
      </c>
      <c r="J3" s="137" t="s">
        <v>148</v>
      </c>
      <c r="K3" s="137" t="s">
        <v>92</v>
      </c>
      <c r="L3" s="138" t="s">
        <v>97</v>
      </c>
      <c r="M3" s="137" t="s">
        <v>98</v>
      </c>
      <c r="N3" s="137" t="s">
        <v>143</v>
      </c>
      <c r="O3" s="137" t="s">
        <v>144</v>
      </c>
      <c r="P3" s="137" t="s">
        <v>145</v>
      </c>
      <c r="Q3" s="137" t="s">
        <v>146</v>
      </c>
      <c r="R3" s="137" t="s">
        <v>147</v>
      </c>
      <c r="S3" s="137" t="s">
        <v>90</v>
      </c>
      <c r="T3" s="137" t="s">
        <v>150</v>
      </c>
      <c r="U3" s="137" t="s">
        <v>151</v>
      </c>
      <c r="V3" s="137"/>
      <c r="W3" s="136">
        <v>2010</v>
      </c>
      <c r="X3" s="136">
        <v>2011</v>
      </c>
      <c r="Y3" s="136">
        <v>2020</v>
      </c>
      <c r="Z3" s="136">
        <v>2025</v>
      </c>
      <c r="AA3" s="136">
        <v>2030</v>
      </c>
      <c r="AB3" s="136">
        <v>2050</v>
      </c>
      <c r="AC3" s="136">
        <v>2075</v>
      </c>
      <c r="AD3" s="136">
        <v>2100</v>
      </c>
      <c r="AF3" s="137" t="s">
        <v>132</v>
      </c>
      <c r="AG3" s="137" t="s">
        <v>133</v>
      </c>
      <c r="AH3" s="137" t="s">
        <v>132</v>
      </c>
      <c r="AI3" s="137" t="s">
        <v>133</v>
      </c>
    </row>
    <row r="4" spans="1:35" s="37" customFormat="1" ht="17.25" customHeight="1">
      <c r="A4" s="24" t="s">
        <v>129</v>
      </c>
      <c r="C4" s="43"/>
      <c r="D4" s="43"/>
      <c r="K4" s="24"/>
      <c r="L4" s="70"/>
      <c r="M4" s="2"/>
      <c r="N4" s="2"/>
      <c r="O4" s="2"/>
      <c r="P4" s="2"/>
      <c r="Q4" s="2"/>
      <c r="R4" s="24"/>
      <c r="S4" s="22"/>
      <c r="T4" s="22"/>
      <c r="U4" s="22"/>
      <c r="V4" s="22"/>
      <c r="W4" s="15">
        <v>48.6</v>
      </c>
      <c r="X4" s="15"/>
      <c r="Y4" s="15"/>
      <c r="Z4" s="15"/>
      <c r="AA4" s="15"/>
      <c r="AB4" s="15"/>
      <c r="AC4" s="15"/>
      <c r="AD4" s="63"/>
    </row>
    <row r="5" spans="1:35" s="37" customFormat="1" ht="15" customHeight="1">
      <c r="A5" s="24" t="s">
        <v>130</v>
      </c>
      <c r="C5" s="43"/>
      <c r="D5" s="43"/>
      <c r="K5" s="24"/>
      <c r="L5" s="64"/>
      <c r="M5" s="64"/>
      <c r="N5" s="64"/>
      <c r="O5" s="64"/>
      <c r="P5" s="64"/>
      <c r="Q5" s="64"/>
      <c r="S5" s="121"/>
      <c r="T5" s="121"/>
      <c r="U5" s="121"/>
      <c r="V5" s="121"/>
      <c r="W5" s="37">
        <v>51.9</v>
      </c>
      <c r="AD5" s="43"/>
    </row>
    <row r="6" spans="1:35" s="84" customFormat="1">
      <c r="A6" s="83" t="s">
        <v>100</v>
      </c>
      <c r="C6" s="85"/>
      <c r="D6" s="85"/>
      <c r="K6" s="83"/>
      <c r="L6" s="86"/>
      <c r="M6" s="86"/>
      <c r="N6" s="86"/>
      <c r="O6" s="86"/>
      <c r="P6" s="86"/>
      <c r="Q6" s="86"/>
      <c r="S6" s="122"/>
      <c r="T6" s="140"/>
      <c r="U6" s="140"/>
      <c r="V6" s="140"/>
      <c r="AD6" s="85"/>
    </row>
    <row r="7" spans="1:35" s="36" customFormat="1">
      <c r="A7" s="28" t="s">
        <v>31</v>
      </c>
      <c r="C7" s="65"/>
      <c r="D7" s="65"/>
      <c r="L7" s="69"/>
      <c r="M7" s="69"/>
      <c r="N7" s="69"/>
      <c r="O7" s="69"/>
      <c r="P7" s="69"/>
      <c r="Q7" s="69"/>
      <c r="S7" s="123"/>
      <c r="T7" s="141"/>
      <c r="U7" s="141"/>
      <c r="V7" s="141"/>
      <c r="AD7" s="65"/>
    </row>
    <row r="8" spans="1:35" ht="30.75" customHeight="1">
      <c r="A8" s="15" t="s">
        <v>32</v>
      </c>
      <c r="L8" s="15"/>
      <c r="M8" s="15"/>
      <c r="N8" s="15"/>
      <c r="O8" s="15"/>
      <c r="P8" s="15"/>
      <c r="Q8" s="15"/>
      <c r="T8" s="141"/>
      <c r="U8" s="141"/>
      <c r="V8" s="141"/>
      <c r="AD8" s="15"/>
    </row>
    <row r="9" spans="1:35">
      <c r="A9" s="44" t="s">
        <v>14</v>
      </c>
      <c r="B9" s="38" t="s">
        <v>15</v>
      </c>
      <c r="C9" s="66">
        <v>4.8</v>
      </c>
      <c r="D9" s="66"/>
      <c r="E9" s="38"/>
      <c r="F9" s="38"/>
      <c r="G9" s="38"/>
      <c r="H9" s="38"/>
      <c r="I9" s="38"/>
      <c r="J9" s="38"/>
      <c r="K9" s="38"/>
      <c r="L9" s="71">
        <v>890.60006452046071</v>
      </c>
      <c r="M9" s="71">
        <v>1284.4883504784823</v>
      </c>
      <c r="N9" s="144"/>
      <c r="O9" s="144"/>
      <c r="P9" s="144"/>
      <c r="Q9" s="144"/>
      <c r="R9" s="39">
        <v>10416.363609330787</v>
      </c>
      <c r="S9" s="124">
        <v>2.95</v>
      </c>
      <c r="T9" s="142"/>
      <c r="U9" s="142"/>
      <c r="V9" s="142"/>
      <c r="W9" s="40">
        <v>48.959143001604332</v>
      </c>
      <c r="X9" s="40">
        <v>50.710020988604327</v>
      </c>
      <c r="Y9" s="40">
        <v>66.46792287160433</v>
      </c>
      <c r="Z9" s="40">
        <v>74.161506821604334</v>
      </c>
      <c r="AA9" s="40">
        <v>81.855090771604324</v>
      </c>
      <c r="AB9" s="40">
        <v>110.3999063206043</v>
      </c>
      <c r="AC9" s="40">
        <v>144.87452022160431</v>
      </c>
      <c r="AD9" s="40">
        <v>175.14228667160432</v>
      </c>
      <c r="AF9" s="63">
        <f>Z9-W9</f>
        <v>25.202363820000002</v>
      </c>
      <c r="AG9" s="63">
        <f>100 *AF9/W9</f>
        <v>51.476317343165398</v>
      </c>
      <c r="AH9" s="63">
        <f>AA9-W9</f>
        <v>32.895947769999992</v>
      </c>
      <c r="AI9" s="63">
        <f>100 *AH9/W9</f>
        <v>67.190611912716761</v>
      </c>
    </row>
    <row r="10" spans="1:35">
      <c r="A10" s="41"/>
      <c r="B10" s="38" t="s">
        <v>16</v>
      </c>
      <c r="C10" s="66">
        <v>4.0999999999999996</v>
      </c>
      <c r="D10" s="66"/>
      <c r="E10" s="38"/>
      <c r="F10" s="38"/>
      <c r="G10" s="38"/>
      <c r="H10" s="38"/>
      <c r="I10" s="38"/>
      <c r="J10" s="38"/>
      <c r="K10" s="38"/>
      <c r="L10" s="71">
        <v>722.48240219951083</v>
      </c>
      <c r="M10" s="71">
        <v>1014.8760867610325</v>
      </c>
      <c r="N10" s="144"/>
      <c r="O10" s="144"/>
      <c r="P10" s="144"/>
      <c r="Q10" s="144"/>
      <c r="R10" s="39">
        <v>6550.5149901028335</v>
      </c>
      <c r="S10" s="124">
        <v>3.15</v>
      </c>
      <c r="T10" s="142"/>
      <c r="U10" s="142"/>
      <c r="V10" s="142"/>
      <c r="W10" s="40">
        <v>43.796386921604331</v>
      </c>
      <c r="X10" s="40">
        <v>44.755959696554335</v>
      </c>
      <c r="Y10" s="40">
        <v>53.392114671104331</v>
      </c>
      <c r="Z10" s="40">
        <v>56.571253571854335</v>
      </c>
      <c r="AA10" s="40">
        <v>59.750392472604332</v>
      </c>
      <c r="AB10" s="40">
        <v>73.985117966104326</v>
      </c>
      <c r="AC10" s="40">
        <v>86.507162891604324</v>
      </c>
      <c r="AD10" s="40">
        <v>82.658140651604327</v>
      </c>
      <c r="AF10" s="63">
        <f t="shared" ref="AF10:AF20" si="0">Z10-W10</f>
        <v>12.774866650250004</v>
      </c>
      <c r="AG10" s="63">
        <f t="shared" ref="AG10:AG20" si="1">100 *AF10/W10</f>
        <v>29.168768357803252</v>
      </c>
      <c r="AH10" s="63">
        <f t="shared" ref="AH10:AH20" si="2">AA10-W10</f>
        <v>15.954005551000002</v>
      </c>
      <c r="AI10" s="63">
        <f t="shared" ref="AI10:AI20" si="3">100 *AH10/W10</f>
        <v>36.427675140320872</v>
      </c>
    </row>
    <row r="11" spans="1:35">
      <c r="A11" s="20" t="s">
        <v>17</v>
      </c>
      <c r="B11" s="38" t="s">
        <v>15</v>
      </c>
      <c r="C11" s="66">
        <v>3.8</v>
      </c>
      <c r="D11" s="66"/>
      <c r="E11" s="38"/>
      <c r="F11" s="38"/>
      <c r="G11" s="38"/>
      <c r="H11" s="38"/>
      <c r="I11" s="38"/>
      <c r="J11" s="38"/>
      <c r="K11" s="38"/>
      <c r="L11" s="71">
        <v>735.48259363180489</v>
      </c>
      <c r="M11" s="71">
        <v>1032.9832570099179</v>
      </c>
      <c r="N11" s="144"/>
      <c r="O11" s="144"/>
      <c r="P11" s="144"/>
      <c r="Q11" s="144"/>
      <c r="R11" s="39">
        <v>6549.9053559893837</v>
      </c>
      <c r="S11" s="124">
        <v>2.9</v>
      </c>
      <c r="T11" s="142"/>
      <c r="U11" s="142"/>
      <c r="V11" s="142"/>
      <c r="W11" s="40">
        <v>47.3214619756288</v>
      </c>
      <c r="X11" s="40">
        <v>48.294555746469825</v>
      </c>
      <c r="Y11" s="40">
        <v>53.278416737333728</v>
      </c>
      <c r="Z11" s="40">
        <v>57.175531187270572</v>
      </c>
      <c r="AA11" s="40">
        <v>61.066415856541923</v>
      </c>
      <c r="AB11" s="40">
        <v>76.240608489742229</v>
      </c>
      <c r="AC11" s="40">
        <v>84.089756246828784</v>
      </c>
      <c r="AD11" s="40">
        <v>84.783705179470857</v>
      </c>
      <c r="AF11" s="63">
        <f t="shared" si="0"/>
        <v>9.8540692116417716</v>
      </c>
      <c r="AG11" s="63">
        <f t="shared" si="1"/>
        <v>20.823678728938578</v>
      </c>
      <c r="AH11" s="63">
        <f t="shared" si="2"/>
        <v>13.744953880913123</v>
      </c>
      <c r="AI11" s="63">
        <f t="shared" si="3"/>
        <v>29.045919773129498</v>
      </c>
    </row>
    <row r="12" spans="1:35">
      <c r="A12" s="44"/>
      <c r="B12" s="38" t="s">
        <v>16</v>
      </c>
      <c r="C12" s="66">
        <v>3.3</v>
      </c>
      <c r="D12" s="66"/>
      <c r="E12" s="38"/>
      <c r="F12" s="38"/>
      <c r="G12" s="38"/>
      <c r="H12" s="38"/>
      <c r="I12" s="38"/>
      <c r="J12" s="38"/>
      <c r="K12" s="38"/>
      <c r="L12" s="71">
        <v>719.68276331947095</v>
      </c>
      <c r="M12" s="71">
        <v>1003.1418273786279</v>
      </c>
      <c r="N12" s="144"/>
      <c r="O12" s="144"/>
      <c r="P12" s="144"/>
      <c r="Q12" s="144"/>
      <c r="R12" s="39">
        <v>5432.4974862463214</v>
      </c>
      <c r="S12" s="124">
        <v>2.8</v>
      </c>
      <c r="T12" s="142"/>
      <c r="U12" s="142"/>
      <c r="V12" s="142"/>
      <c r="W12" s="40">
        <v>47.3214619756288</v>
      </c>
      <c r="X12" s="40">
        <v>48.277041569295491</v>
      </c>
      <c r="Y12" s="40">
        <v>51.965825708104859</v>
      </c>
      <c r="Z12" s="40">
        <v>54.846632259829036</v>
      </c>
      <c r="AA12" s="40">
        <v>57.938482035184279</v>
      </c>
      <c r="AB12" s="40">
        <v>65.394542333926168</v>
      </c>
      <c r="AC12" s="40">
        <v>64.860432108163508</v>
      </c>
      <c r="AD12" s="40">
        <v>59.34742931824541</v>
      </c>
      <c r="AF12" s="63">
        <f t="shared" si="0"/>
        <v>7.5251702842002359</v>
      </c>
      <c r="AG12" s="63">
        <f t="shared" si="1"/>
        <v>15.902235412920678</v>
      </c>
      <c r="AH12" s="63">
        <f t="shared" si="2"/>
        <v>10.617020059555479</v>
      </c>
      <c r="AI12" s="63">
        <f t="shared" si="3"/>
        <v>22.435951080766248</v>
      </c>
    </row>
    <row r="13" spans="1:35">
      <c r="A13" s="20" t="s">
        <v>18</v>
      </c>
      <c r="B13" s="38" t="s">
        <v>15</v>
      </c>
      <c r="C13" s="135">
        <v>2.7</v>
      </c>
      <c r="D13" s="135"/>
      <c r="E13" s="38"/>
      <c r="F13" s="38"/>
      <c r="G13" s="38"/>
      <c r="H13" s="38"/>
      <c r="I13" s="38"/>
      <c r="J13" s="38"/>
      <c r="K13" s="38"/>
      <c r="L13" s="74">
        <v>713.07834223660007</v>
      </c>
      <c r="M13" s="74">
        <v>979.75090607117352</v>
      </c>
      <c r="N13" s="74"/>
      <c r="O13" s="74"/>
      <c r="P13" s="74"/>
      <c r="Q13" s="74"/>
      <c r="R13" s="133">
        <v>4153.8843335198144</v>
      </c>
      <c r="S13" s="124">
        <v>2.6</v>
      </c>
      <c r="T13" s="142"/>
      <c r="U13" s="142"/>
      <c r="V13" s="142"/>
      <c r="W13" s="40">
        <v>47.285396291984249</v>
      </c>
      <c r="X13" s="89">
        <v>48.170409687113853</v>
      </c>
      <c r="Y13" s="40">
        <v>52.148472368328434</v>
      </c>
      <c r="Z13" s="89">
        <v>52.617578871057205</v>
      </c>
      <c r="AA13" s="89">
        <v>53.82336592987685</v>
      </c>
      <c r="AB13" s="40">
        <v>48.383555809730815</v>
      </c>
      <c r="AC13" s="40">
        <v>42.518345272921692</v>
      </c>
      <c r="AD13" s="40">
        <v>37.563576118368758</v>
      </c>
      <c r="AF13" s="89">
        <f t="shared" si="0"/>
        <v>5.3321825790729562</v>
      </c>
      <c r="AG13" s="89">
        <f t="shared" si="1"/>
        <v>11.276594883856054</v>
      </c>
      <c r="AH13" s="89">
        <f t="shared" si="2"/>
        <v>6.5379696378926013</v>
      </c>
      <c r="AI13" s="89">
        <f t="shared" si="3"/>
        <v>13.826614876020209</v>
      </c>
    </row>
    <row r="14" spans="1:35">
      <c r="A14" s="44"/>
      <c r="B14" s="38" t="s">
        <v>16</v>
      </c>
      <c r="C14" s="66">
        <v>2.5</v>
      </c>
      <c r="D14" s="66"/>
      <c r="E14" s="38"/>
      <c r="F14" s="38"/>
      <c r="G14" s="38"/>
      <c r="H14" s="38"/>
      <c r="I14" s="38"/>
      <c r="J14" s="38"/>
      <c r="K14" s="38"/>
      <c r="L14" s="74">
        <v>708.39744418919736</v>
      </c>
      <c r="M14" s="74">
        <v>974.30024106262147</v>
      </c>
      <c r="N14" s="74"/>
      <c r="O14" s="74"/>
      <c r="P14" s="74"/>
      <c r="Q14" s="74"/>
      <c r="R14" s="39">
        <v>3782.328120452175</v>
      </c>
      <c r="S14" s="124">
        <v>2.5</v>
      </c>
      <c r="T14" s="142"/>
      <c r="U14" s="142"/>
      <c r="V14" s="142"/>
      <c r="W14" s="40">
        <v>47.285396291984249</v>
      </c>
      <c r="X14" s="89">
        <v>48.139017248528972</v>
      </c>
      <c r="Y14" s="40">
        <v>51.326757105033451</v>
      </c>
      <c r="Z14" s="89">
        <v>52.589989869142713</v>
      </c>
      <c r="AA14" s="89">
        <v>53.569455557972006</v>
      </c>
      <c r="AB14" s="40">
        <v>44.543472608966468</v>
      </c>
      <c r="AC14" s="40">
        <v>36.836444353862355</v>
      </c>
      <c r="AD14" s="40">
        <v>31.672745378808134</v>
      </c>
      <c r="AF14" s="89">
        <f t="shared" si="0"/>
        <v>5.3045935771584638</v>
      </c>
      <c r="AG14" s="89">
        <f t="shared" si="1"/>
        <v>11.218249170215142</v>
      </c>
      <c r="AH14" s="89">
        <f t="shared" si="2"/>
        <v>6.2840592659877572</v>
      </c>
      <c r="AI14" s="89">
        <f t="shared" si="3"/>
        <v>13.2896406898741</v>
      </c>
    </row>
    <row r="15" spans="1:35">
      <c r="A15" s="44" t="s">
        <v>19</v>
      </c>
      <c r="B15" s="38" t="s">
        <v>15</v>
      </c>
      <c r="C15" s="66">
        <v>1.7</v>
      </c>
      <c r="D15" s="66"/>
      <c r="E15" s="38"/>
      <c r="F15" s="38"/>
      <c r="G15" s="38"/>
      <c r="H15" s="38"/>
      <c r="I15" s="38"/>
      <c r="J15" s="38"/>
      <c r="K15" s="38"/>
      <c r="L15" s="78">
        <v>568.55940234806371</v>
      </c>
      <c r="M15" s="78">
        <v>722.2446782539605</v>
      </c>
      <c r="N15" s="78"/>
      <c r="O15" s="78"/>
      <c r="P15" s="78"/>
      <c r="Q15" s="78"/>
      <c r="R15" s="39">
        <v>1373.6270606902794</v>
      </c>
      <c r="S15" s="124">
        <v>2.4</v>
      </c>
      <c r="T15" s="142"/>
      <c r="U15" s="142"/>
      <c r="V15" s="142"/>
      <c r="W15" s="40">
        <v>46.686599100000002</v>
      </c>
      <c r="X15" s="90">
        <v>46.039706546285665</v>
      </c>
      <c r="Y15" s="40">
        <v>40.217673562856604</v>
      </c>
      <c r="Z15" s="90">
        <v>34.292287074308305</v>
      </c>
      <c r="AA15" s="90">
        <v>28.36690058576</v>
      </c>
      <c r="AB15" s="40">
        <v>15.813465591899901</v>
      </c>
      <c r="AC15" s="40">
        <v>3.2616380147999999</v>
      </c>
      <c r="AD15" s="40">
        <v>-2.7518270999999999</v>
      </c>
      <c r="AF15" s="90">
        <f t="shared" si="0"/>
        <v>-12.394312025691697</v>
      </c>
      <c r="AG15" s="90">
        <f t="shared" si="1"/>
        <v>-26.547900820841107</v>
      </c>
      <c r="AH15" s="90">
        <f t="shared" si="2"/>
        <v>-18.319698514240002</v>
      </c>
      <c r="AI15" s="90">
        <f t="shared" si="3"/>
        <v>-39.239736599790156</v>
      </c>
    </row>
    <row r="16" spans="1:35">
      <c r="A16" s="44"/>
      <c r="B16" s="38" t="s">
        <v>20</v>
      </c>
      <c r="C16" s="66">
        <v>1.6</v>
      </c>
      <c r="D16" s="66"/>
      <c r="E16" s="38"/>
      <c r="F16" s="38"/>
      <c r="G16" s="38"/>
      <c r="H16" s="38"/>
      <c r="I16" s="38"/>
      <c r="J16" s="38"/>
      <c r="K16" s="38"/>
      <c r="L16" s="78">
        <v>628.11296181592354</v>
      </c>
      <c r="M16" s="78">
        <v>823.83368888492362</v>
      </c>
      <c r="N16" s="78"/>
      <c r="O16" s="78"/>
      <c r="P16" s="78"/>
      <c r="Q16" s="78"/>
      <c r="R16" s="39">
        <v>1948.7710671992095</v>
      </c>
      <c r="S16" s="127">
        <v>2.0499999999999998</v>
      </c>
      <c r="T16" s="142"/>
      <c r="U16" s="142"/>
      <c r="V16" s="142"/>
      <c r="W16" s="40">
        <v>48.096179095742599</v>
      </c>
      <c r="X16" s="90">
        <v>47.762472557668339</v>
      </c>
      <c r="Y16" s="40">
        <v>44.759113714999998</v>
      </c>
      <c r="Z16" s="90">
        <v>41.24975852675</v>
      </c>
      <c r="AA16" s="90">
        <v>37.740403338500002</v>
      </c>
      <c r="AB16" s="40">
        <v>23.004137560665001</v>
      </c>
      <c r="AC16" s="40">
        <v>9.5899421848666648</v>
      </c>
      <c r="AD16" s="40">
        <v>2.9657129000000002</v>
      </c>
      <c r="AF16" s="90">
        <f t="shared" si="0"/>
        <v>-6.846420568992599</v>
      </c>
      <c r="AG16" s="90">
        <f t="shared" si="1"/>
        <v>-14.234853366134926</v>
      </c>
      <c r="AH16" s="90">
        <f t="shared" si="2"/>
        <v>-10.355775757242597</v>
      </c>
      <c r="AI16" s="90">
        <f t="shared" si="3"/>
        <v>-21.531389711078475</v>
      </c>
    </row>
    <row r="17" spans="1:35">
      <c r="A17" s="44"/>
      <c r="B17" s="38" t="s">
        <v>16</v>
      </c>
      <c r="C17" s="66">
        <v>1.5</v>
      </c>
      <c r="D17" s="66"/>
      <c r="E17" s="38"/>
      <c r="F17" s="38"/>
      <c r="G17" s="38"/>
      <c r="H17" s="38"/>
      <c r="I17" s="38"/>
      <c r="J17" s="38"/>
      <c r="K17" s="38"/>
      <c r="L17" s="78">
        <v>670.26766199345093</v>
      </c>
      <c r="M17" s="78">
        <v>899.26330057430107</v>
      </c>
      <c r="N17" s="78"/>
      <c r="O17" s="78"/>
      <c r="P17" s="78"/>
      <c r="Q17" s="78"/>
      <c r="R17" s="39">
        <v>2430.4593008692982</v>
      </c>
      <c r="S17" s="127">
        <v>1.8</v>
      </c>
      <c r="T17" s="142"/>
      <c r="U17" s="142"/>
      <c r="V17" s="142"/>
      <c r="W17" s="40">
        <v>50.023249223299999</v>
      </c>
      <c r="X17" s="90">
        <v>49.763570639055068</v>
      </c>
      <c r="Y17" s="40">
        <v>47.426463380850699</v>
      </c>
      <c r="Z17" s="90">
        <v>46.409378590425298</v>
      </c>
      <c r="AA17" s="90">
        <v>45.392293799999898</v>
      </c>
      <c r="AB17" s="40">
        <v>30.702873499999999</v>
      </c>
      <c r="AC17" s="40">
        <v>13.291485964494949</v>
      </c>
      <c r="AD17" s="40">
        <v>10.053162868199999</v>
      </c>
      <c r="AF17" s="90">
        <f t="shared" si="0"/>
        <v>-3.6138706328747006</v>
      </c>
      <c r="AG17" s="90">
        <f t="shared" si="1"/>
        <v>-7.2243820403242003</v>
      </c>
      <c r="AH17" s="90">
        <f t="shared" si="2"/>
        <v>-4.6309554233001009</v>
      </c>
      <c r="AI17" s="90">
        <f t="shared" si="3"/>
        <v>-9.2576062035232187</v>
      </c>
    </row>
    <row r="18" spans="1:35">
      <c r="A18" s="44" t="s">
        <v>21</v>
      </c>
      <c r="B18" s="38" t="s">
        <v>15</v>
      </c>
      <c r="C18" s="66">
        <v>1.5</v>
      </c>
      <c r="D18" s="66"/>
      <c r="E18" s="38"/>
      <c r="F18" s="38"/>
      <c r="G18" s="38"/>
      <c r="H18" s="38"/>
      <c r="I18" s="38"/>
      <c r="J18" s="38"/>
      <c r="K18" s="38"/>
      <c r="L18" s="71">
        <v>539.62045572822478</v>
      </c>
      <c r="M18" s="71">
        <v>686.51185854078665</v>
      </c>
      <c r="N18" s="144"/>
      <c r="O18" s="144"/>
      <c r="P18" s="144"/>
      <c r="Q18" s="144"/>
      <c r="R18" s="39">
        <v>908.26826175231065</v>
      </c>
      <c r="S18" s="127">
        <v>2.25</v>
      </c>
      <c r="T18" s="142"/>
      <c r="U18" s="142"/>
      <c r="V18" s="142"/>
      <c r="W18" s="40">
        <v>47.276624956523811</v>
      </c>
      <c r="X18" s="40">
        <v>46.236239057118098</v>
      </c>
      <c r="Y18" s="40">
        <v>36.872765962466666</v>
      </c>
      <c r="Z18" s="40">
        <v>32.188712587495239</v>
      </c>
      <c r="AA18" s="40">
        <v>27.504659212523809</v>
      </c>
      <c r="AB18" s="40">
        <v>5.9942058852380953</v>
      </c>
      <c r="AC18" s="40">
        <v>-1.702979086428571</v>
      </c>
      <c r="AD18" s="40">
        <v>-9.6324169320476187</v>
      </c>
      <c r="AF18" s="63">
        <f t="shared" si="0"/>
        <v>-15.087912369028572</v>
      </c>
      <c r="AG18" s="63">
        <f t="shared" si="1"/>
        <v>-31.91410635362319</v>
      </c>
      <c r="AH18" s="63">
        <f t="shared" si="2"/>
        <v>-19.771965744000003</v>
      </c>
      <c r="AI18" s="63">
        <f t="shared" si="3"/>
        <v>-41.821863896127432</v>
      </c>
    </row>
    <row r="19" spans="1:35">
      <c r="A19" s="44"/>
      <c r="B19" s="38" t="s">
        <v>20</v>
      </c>
      <c r="C19" s="66">
        <v>1.4</v>
      </c>
      <c r="D19" s="66"/>
      <c r="E19" s="38"/>
      <c r="F19" s="38"/>
      <c r="G19" s="38"/>
      <c r="H19" s="38"/>
      <c r="I19" s="38"/>
      <c r="J19" s="38"/>
      <c r="K19" s="38"/>
      <c r="L19" s="71">
        <v>573.67072364770945</v>
      </c>
      <c r="M19" s="71">
        <v>737.30783957561414</v>
      </c>
      <c r="N19" s="144"/>
      <c r="O19" s="144"/>
      <c r="P19" s="144"/>
      <c r="Q19" s="144"/>
      <c r="R19" s="39">
        <v>1260.643709331353</v>
      </c>
      <c r="S19" s="127">
        <v>2</v>
      </c>
      <c r="T19" s="142"/>
      <c r="U19" s="142"/>
      <c r="V19" s="142"/>
      <c r="W19" s="40">
        <v>47.423306384952369</v>
      </c>
      <c r="X19" s="40">
        <v>46.687813308790467</v>
      </c>
      <c r="Y19" s="40">
        <v>40.068375623333331</v>
      </c>
      <c r="Z19" s="40">
        <v>35.480280349738095</v>
      </c>
      <c r="AA19" s="40">
        <v>30.892185076142852</v>
      </c>
      <c r="AB19" s="40">
        <v>13.485961352380954</v>
      </c>
      <c r="AC19" s="40">
        <v>1.084346174880952</v>
      </c>
      <c r="AD19" s="40">
        <v>-5.46145899285714</v>
      </c>
      <c r="AF19" s="63">
        <f t="shared" si="0"/>
        <v>-11.943026035214274</v>
      </c>
      <c r="AG19" s="63">
        <f t="shared" si="1"/>
        <v>-25.183874650722057</v>
      </c>
      <c r="AH19" s="63">
        <f t="shared" si="2"/>
        <v>-16.531121308809517</v>
      </c>
      <c r="AI19" s="63">
        <f t="shared" si="3"/>
        <v>-34.858643500350531</v>
      </c>
    </row>
    <row r="20" spans="1:35">
      <c r="A20" s="44"/>
      <c r="B20" s="38" t="s">
        <v>16</v>
      </c>
      <c r="C20" s="66">
        <v>1.3</v>
      </c>
      <c r="D20" s="66"/>
      <c r="E20" s="38"/>
      <c r="F20" s="38"/>
      <c r="G20" s="38"/>
      <c r="H20" s="38"/>
      <c r="I20" s="38"/>
      <c r="J20" s="38"/>
      <c r="K20" s="38"/>
      <c r="L20" s="71">
        <v>649.32793224716761</v>
      </c>
      <c r="M20" s="71">
        <v>838.97825649861534</v>
      </c>
      <c r="N20" s="144"/>
      <c r="O20" s="144"/>
      <c r="P20" s="144"/>
      <c r="Q20" s="144"/>
      <c r="R20" s="39">
        <v>1584.5599039847727</v>
      </c>
      <c r="S20" s="127">
        <v>1.8</v>
      </c>
      <c r="T20" s="142"/>
      <c r="U20" s="142"/>
      <c r="V20" s="142"/>
      <c r="W20" s="40">
        <v>49.91859401366667</v>
      </c>
      <c r="X20" s="40">
        <v>49.601246309703811</v>
      </c>
      <c r="Y20" s="40">
        <v>46.745116974038098</v>
      </c>
      <c r="Z20" s="40">
        <v>41.235709396695242</v>
      </c>
      <c r="AA20" s="40">
        <v>35.726301819352379</v>
      </c>
      <c r="AB20" s="40">
        <v>16.399349137761906</v>
      </c>
      <c r="AC20" s="40">
        <v>3.8768575600714277</v>
      </c>
      <c r="AD20" s="40">
        <v>-2.791486807095239</v>
      </c>
      <c r="AF20" s="63">
        <f t="shared" si="0"/>
        <v>-8.6828846169714282</v>
      </c>
      <c r="AG20" s="63">
        <f t="shared" si="1"/>
        <v>-17.394088893197264</v>
      </c>
      <c r="AH20" s="63">
        <f t="shared" si="2"/>
        <v>-14.192292194314291</v>
      </c>
      <c r="AI20" s="63">
        <f t="shared" si="3"/>
        <v>-28.430873254220135</v>
      </c>
    </row>
    <row r="21" spans="1:35" s="28" customFormat="1">
      <c r="A21" s="28" t="s">
        <v>33</v>
      </c>
      <c r="B21" s="29"/>
      <c r="C21" s="30"/>
      <c r="D21" s="30"/>
      <c r="E21" s="29"/>
      <c r="F21" s="29"/>
      <c r="G21" s="29"/>
      <c r="H21" s="29"/>
      <c r="I21" s="29"/>
      <c r="J21" s="29"/>
      <c r="K21" s="29"/>
      <c r="L21" s="72"/>
      <c r="M21" s="72"/>
      <c r="N21" s="72"/>
      <c r="O21" s="72"/>
      <c r="P21" s="72"/>
      <c r="Q21" s="72"/>
      <c r="R21" s="31"/>
      <c r="S21" s="125"/>
      <c r="T21" s="143"/>
      <c r="U21" s="143"/>
      <c r="V21" s="143"/>
      <c r="W21" s="30"/>
      <c r="X21" s="30"/>
      <c r="Y21" s="30"/>
      <c r="Z21" s="30"/>
      <c r="AA21" s="30"/>
      <c r="AB21" s="30"/>
      <c r="AC21" s="30"/>
      <c r="AD21" s="30"/>
    </row>
    <row r="22" spans="1:35">
      <c r="A22" s="45" t="s">
        <v>24</v>
      </c>
      <c r="C22" s="63">
        <v>4.5</v>
      </c>
      <c r="E22" s="15" t="s">
        <v>39</v>
      </c>
      <c r="F22" s="15">
        <v>910</v>
      </c>
      <c r="G22" s="15">
        <v>1255</v>
      </c>
      <c r="H22" s="73">
        <f>100*F22/G22</f>
        <v>72.509960159362549</v>
      </c>
      <c r="I22" s="73"/>
      <c r="J22" s="73"/>
      <c r="L22" s="73">
        <v>854.42610000000002</v>
      </c>
      <c r="M22" s="73">
        <v>1210.4584</v>
      </c>
      <c r="R22" s="42">
        <v>9333.0977999999977</v>
      </c>
      <c r="S22" s="120">
        <v>2.9</v>
      </c>
      <c r="T22" s="141"/>
      <c r="U22" s="141"/>
      <c r="V22" s="141"/>
      <c r="W22" s="43">
        <v>50.712200000000003</v>
      </c>
      <c r="X22" s="43">
        <v>52.107199999999999</v>
      </c>
      <c r="Y22" s="43">
        <v>63.082000000000001</v>
      </c>
      <c r="Z22" s="43">
        <v>68.159899999999993</v>
      </c>
      <c r="AA22" s="43">
        <v>73.2376</v>
      </c>
      <c r="AB22" s="43">
        <v>102.254</v>
      </c>
      <c r="AC22" s="43">
        <v>129.584</v>
      </c>
      <c r="AD22" s="43">
        <v>139.34200000000001</v>
      </c>
      <c r="AF22" s="63">
        <f t="shared" ref="AF22:AF27" si="4">Z22-W22</f>
        <v>17.44769999999999</v>
      </c>
      <c r="AG22" s="63">
        <f t="shared" ref="AG22:AG27" si="5">100 *AF22/W22</f>
        <v>34.405330472746186</v>
      </c>
      <c r="AH22" s="63">
        <f t="shared" ref="AH22:AH27" si="6">AA22-W22</f>
        <v>22.525399999999998</v>
      </c>
      <c r="AI22" s="63">
        <f t="shared" ref="AI22:AI27" si="7">100 *AH22/W22</f>
        <v>44.418108463052278</v>
      </c>
    </row>
    <row r="23" spans="1:35">
      <c r="A23" s="45" t="s">
        <v>25</v>
      </c>
      <c r="C23" s="89">
        <v>3.5</v>
      </c>
      <c r="D23" s="89"/>
      <c r="E23" s="15" t="s">
        <v>40</v>
      </c>
      <c r="F23" s="15">
        <v>675</v>
      </c>
      <c r="G23" s="15">
        <v>860</v>
      </c>
      <c r="H23" s="73">
        <f t="shared" ref="H23:H27" si="8">100*F23/G23</f>
        <v>78.488372093023258</v>
      </c>
      <c r="I23" s="73"/>
      <c r="J23" s="73"/>
      <c r="L23" s="77">
        <v>801.5258</v>
      </c>
      <c r="M23" s="77">
        <v>1088.9455000000003</v>
      </c>
      <c r="N23" s="77"/>
      <c r="O23" s="77"/>
      <c r="P23" s="77"/>
      <c r="Q23" s="77"/>
      <c r="R23" s="134">
        <v>6230.2213999999994</v>
      </c>
      <c r="S23" s="120">
        <v>2.75</v>
      </c>
      <c r="T23" s="141"/>
      <c r="U23" s="141"/>
      <c r="V23" s="141"/>
      <c r="W23" s="43">
        <v>50.712200000000003</v>
      </c>
      <c r="X23" s="88">
        <v>52.107199999999999</v>
      </c>
      <c r="Y23" s="43">
        <v>59.021900000000002</v>
      </c>
      <c r="Z23" s="88">
        <v>57.2117</v>
      </c>
      <c r="AA23" s="88">
        <v>57.599200000000003</v>
      </c>
      <c r="AB23" s="43">
        <v>67.817599999999999</v>
      </c>
      <c r="AC23" s="43">
        <v>78.322400000000002</v>
      </c>
      <c r="AD23" s="43">
        <v>83.883499999999998</v>
      </c>
      <c r="AF23" s="89">
        <f t="shared" si="4"/>
        <v>6.4994999999999976</v>
      </c>
      <c r="AG23" s="89">
        <f t="shared" si="5"/>
        <v>12.816442591723487</v>
      </c>
      <c r="AH23" s="89">
        <f t="shared" si="6"/>
        <v>6.8870000000000005</v>
      </c>
      <c r="AI23" s="89">
        <f t="shared" si="7"/>
        <v>13.58055852437875</v>
      </c>
    </row>
    <row r="24" spans="1:35">
      <c r="A24" s="45" t="s">
        <v>26</v>
      </c>
      <c r="C24" s="63">
        <v>3.2</v>
      </c>
      <c r="E24" s="15" t="s">
        <v>41</v>
      </c>
      <c r="F24" s="15">
        <v>635</v>
      </c>
      <c r="G24" s="15">
        <v>790</v>
      </c>
      <c r="H24" s="73">
        <f t="shared" si="8"/>
        <v>80.379746835443044</v>
      </c>
      <c r="I24" s="73"/>
      <c r="J24" s="73"/>
      <c r="L24" s="73">
        <v>801.5258</v>
      </c>
      <c r="M24" s="73">
        <v>1085.8802000000001</v>
      </c>
      <c r="R24" s="42">
        <v>5635.4419999999991</v>
      </c>
      <c r="S24" s="120">
        <v>2.7</v>
      </c>
      <c r="T24" s="141"/>
      <c r="U24" s="141"/>
      <c r="V24" s="141"/>
      <c r="W24" s="43">
        <v>50.712200000000003</v>
      </c>
      <c r="X24" s="43">
        <v>52.107199999999999</v>
      </c>
      <c r="Y24" s="43">
        <v>59.021900000000002</v>
      </c>
      <c r="Z24" s="43">
        <v>57.2117</v>
      </c>
      <c r="AA24" s="43">
        <v>56.598700000000001</v>
      </c>
      <c r="AB24" s="43">
        <v>61.421300000000002</v>
      </c>
      <c r="AC24" s="43">
        <v>67.869</v>
      </c>
      <c r="AD24" s="43">
        <v>71.235399999999998</v>
      </c>
      <c r="AF24" s="63">
        <f t="shared" si="4"/>
        <v>6.4994999999999976</v>
      </c>
      <c r="AG24" s="63">
        <f t="shared" si="5"/>
        <v>12.816442591723487</v>
      </c>
      <c r="AH24" s="63">
        <f t="shared" si="6"/>
        <v>5.8864999999999981</v>
      </c>
      <c r="AI24" s="63">
        <f t="shared" si="7"/>
        <v>11.607660484064976</v>
      </c>
    </row>
    <row r="25" spans="1:35">
      <c r="A25" s="45" t="s">
        <v>27</v>
      </c>
      <c r="C25" s="63">
        <v>3</v>
      </c>
      <c r="E25" s="15" t="s">
        <v>42</v>
      </c>
      <c r="F25" s="15">
        <v>600</v>
      </c>
      <c r="G25" s="15">
        <v>715</v>
      </c>
      <c r="H25" s="73">
        <f t="shared" si="8"/>
        <v>83.91608391608392</v>
      </c>
      <c r="I25" s="73"/>
      <c r="J25" s="73"/>
      <c r="L25" s="73">
        <v>799.70400000000018</v>
      </c>
      <c r="M25" s="73">
        <v>1081.7775000000001</v>
      </c>
      <c r="R25" s="42">
        <v>4992.8936999999996</v>
      </c>
      <c r="S25" s="120">
        <v>2.65</v>
      </c>
      <c r="T25" s="141"/>
      <c r="U25" s="141"/>
      <c r="V25" s="141"/>
      <c r="W25" s="43">
        <v>50.712200000000003</v>
      </c>
      <c r="X25" s="43">
        <v>52.107199999999999</v>
      </c>
      <c r="Y25" s="43">
        <v>58.859299999999998</v>
      </c>
      <c r="Z25" s="43">
        <v>56.870800000000003</v>
      </c>
      <c r="AA25" s="43">
        <v>56.063499999999998</v>
      </c>
      <c r="AB25" s="43">
        <v>56.256999999999998</v>
      </c>
      <c r="AC25" s="43">
        <v>55.828499999999998</v>
      </c>
      <c r="AD25" s="43">
        <v>55.107100000000003</v>
      </c>
      <c r="AF25" s="63">
        <f t="shared" si="4"/>
        <v>6.1585999999999999</v>
      </c>
      <c r="AG25" s="63">
        <f t="shared" si="5"/>
        <v>12.144217762195289</v>
      </c>
      <c r="AH25" s="63">
        <f t="shared" si="6"/>
        <v>5.3512999999999948</v>
      </c>
      <c r="AI25" s="63">
        <f t="shared" si="7"/>
        <v>10.552293136562788</v>
      </c>
    </row>
    <row r="26" spans="1:35">
      <c r="A26" s="45" t="s">
        <v>28</v>
      </c>
      <c r="C26" s="63">
        <v>2.6</v>
      </c>
      <c r="E26" s="15" t="s">
        <v>43</v>
      </c>
      <c r="F26" s="15">
        <v>555</v>
      </c>
      <c r="G26" s="15">
        <v>625</v>
      </c>
      <c r="H26" s="73">
        <f t="shared" si="8"/>
        <v>88.8</v>
      </c>
      <c r="I26" s="73"/>
      <c r="J26" s="73"/>
      <c r="L26" s="73">
        <v>795.50689999999986</v>
      </c>
      <c r="M26" s="73">
        <v>1073.2561999999998</v>
      </c>
      <c r="R26" s="42">
        <v>4187.7816999999977</v>
      </c>
      <c r="S26" s="120">
        <v>2.5</v>
      </c>
      <c r="T26" s="141"/>
      <c r="U26" s="141"/>
      <c r="V26" s="141"/>
      <c r="W26" s="43">
        <v>50.712200000000003</v>
      </c>
      <c r="X26" s="91">
        <v>52.107199999999999</v>
      </c>
      <c r="Y26" s="43">
        <v>58.440899999999999</v>
      </c>
      <c r="Z26" s="43">
        <v>56.198099999999997</v>
      </c>
      <c r="AA26" s="43">
        <v>55.0777</v>
      </c>
      <c r="AB26" s="43">
        <v>50.036900000000003</v>
      </c>
      <c r="AC26" s="43">
        <v>41.482900000000001</v>
      </c>
      <c r="AD26" s="43">
        <v>32.709899999999998</v>
      </c>
      <c r="AF26" s="63">
        <f t="shared" si="4"/>
        <v>5.4858999999999938</v>
      </c>
      <c r="AG26" s="63">
        <f t="shared" si="5"/>
        <v>10.817712503105748</v>
      </c>
      <c r="AH26" s="63">
        <f t="shared" si="6"/>
        <v>4.3654999999999973</v>
      </c>
      <c r="AI26" s="63">
        <f t="shared" si="7"/>
        <v>8.6083822038878157</v>
      </c>
    </row>
    <row r="27" spans="1:35">
      <c r="A27" s="45" t="s">
        <v>29</v>
      </c>
      <c r="C27" s="63">
        <v>2</v>
      </c>
      <c r="E27" s="15" t="s">
        <v>44</v>
      </c>
      <c r="F27" s="15">
        <v>475</v>
      </c>
      <c r="G27" s="15">
        <v>480</v>
      </c>
      <c r="H27" s="73">
        <f t="shared" si="8"/>
        <v>98.958333333333329</v>
      </c>
      <c r="I27" s="73"/>
      <c r="J27" s="73"/>
      <c r="L27" s="79">
        <v>792.0929000000001</v>
      </c>
      <c r="M27" s="79">
        <v>1064.9502</v>
      </c>
      <c r="N27" s="79"/>
      <c r="O27" s="79"/>
      <c r="P27" s="79"/>
      <c r="Q27" s="79"/>
      <c r="R27" s="42">
        <v>2736.7352199999996</v>
      </c>
      <c r="S27" s="128">
        <v>2.2000000000000002</v>
      </c>
      <c r="T27" s="141"/>
      <c r="U27" s="141"/>
      <c r="V27" s="141"/>
      <c r="W27" s="43">
        <v>50.712200000000003</v>
      </c>
      <c r="X27" s="91">
        <v>52.107199999999999</v>
      </c>
      <c r="Y27" s="43">
        <v>58.141800000000003</v>
      </c>
      <c r="Z27" s="91">
        <v>55.542900000000003</v>
      </c>
      <c r="AA27" s="91">
        <v>53.884300000000003</v>
      </c>
      <c r="AB27" s="43">
        <v>33.938499999999998</v>
      </c>
      <c r="AC27" s="43">
        <v>14.137700000000001</v>
      </c>
      <c r="AD27" s="43">
        <v>5.8988800000000001</v>
      </c>
      <c r="AF27" s="90">
        <f t="shared" si="4"/>
        <v>4.8307000000000002</v>
      </c>
      <c r="AG27" s="90">
        <f t="shared" si="5"/>
        <v>9.5257157054909865</v>
      </c>
      <c r="AH27" s="90">
        <f t="shared" si="6"/>
        <v>3.1721000000000004</v>
      </c>
      <c r="AI27" s="90">
        <f t="shared" si="7"/>
        <v>6.2551023225180531</v>
      </c>
    </row>
    <row r="28" spans="1:35" s="28" customFormat="1">
      <c r="A28" s="28" t="s">
        <v>34</v>
      </c>
      <c r="B28" s="29"/>
      <c r="C28" s="30"/>
      <c r="D28" s="30"/>
      <c r="E28" s="29"/>
      <c r="F28" s="29"/>
      <c r="G28" s="29"/>
      <c r="H28" s="29"/>
      <c r="I28" s="29"/>
      <c r="J28" s="29"/>
      <c r="K28" s="29"/>
      <c r="L28" s="72"/>
      <c r="M28" s="72"/>
      <c r="N28" s="72"/>
      <c r="O28" s="72"/>
      <c r="P28" s="72"/>
      <c r="Q28" s="72"/>
      <c r="R28" s="31"/>
      <c r="S28" s="125"/>
      <c r="T28" s="143"/>
      <c r="U28" s="143"/>
      <c r="V28" s="143"/>
      <c r="W28" s="30"/>
      <c r="X28" s="30"/>
      <c r="Y28" s="30"/>
      <c r="Z28" s="30"/>
      <c r="AA28" s="30"/>
      <c r="AB28" s="30"/>
      <c r="AC28" s="30"/>
      <c r="AD28" s="30"/>
    </row>
    <row r="29" spans="1:35">
      <c r="A29" s="45" t="s">
        <v>45</v>
      </c>
      <c r="C29" s="89">
        <v>3.5</v>
      </c>
      <c r="D29" s="89"/>
      <c r="L29" s="76">
        <v>779.8</v>
      </c>
      <c r="M29" s="76">
        <v>1065.3</v>
      </c>
      <c r="N29" s="76"/>
      <c r="O29" s="76"/>
      <c r="P29" s="76"/>
      <c r="Q29" s="76"/>
      <c r="R29" s="134">
        <v>6153</v>
      </c>
      <c r="S29" s="120">
        <v>2.75</v>
      </c>
      <c r="T29" s="141"/>
      <c r="U29" s="141"/>
      <c r="V29" s="141"/>
      <c r="W29" s="63">
        <f>X29-0.5</f>
        <v>50.6</v>
      </c>
      <c r="X29" s="88">
        <v>51.1</v>
      </c>
      <c r="Y29" s="43">
        <v>58.3</v>
      </c>
      <c r="Z29" s="88">
        <v>56.7</v>
      </c>
      <c r="AA29" s="88">
        <v>57.5</v>
      </c>
      <c r="AD29" s="43">
        <v>83.8</v>
      </c>
      <c r="AF29" s="89">
        <f t="shared" ref="AF29:AF30" si="9">Z29-W29</f>
        <v>6.1000000000000014</v>
      </c>
      <c r="AG29" s="89">
        <f t="shared" ref="AG29:AG30" si="10">100 *AF29/W29</f>
        <v>12.055335968379449</v>
      </c>
      <c r="AH29" s="89">
        <f t="shared" ref="AH29:AH30" si="11">AA29-W29</f>
        <v>6.8999999999999986</v>
      </c>
      <c r="AI29" s="89">
        <f t="shared" ref="AI29:AI30" si="12">100 *AH29/W29</f>
        <v>13.636363636363633</v>
      </c>
    </row>
    <row r="30" spans="1:35">
      <c r="A30" s="45" t="s">
        <v>96</v>
      </c>
      <c r="C30" s="63">
        <v>2</v>
      </c>
      <c r="D30" s="63">
        <v>50</v>
      </c>
      <c r="F30" s="139">
        <v>470</v>
      </c>
      <c r="H30" s="139">
        <v>75</v>
      </c>
      <c r="I30" s="139">
        <f>R30*H30/100</f>
        <v>2166</v>
      </c>
      <c r="J30" s="139">
        <v>1352</v>
      </c>
      <c r="K30" s="139">
        <f>I30-J30</f>
        <v>814</v>
      </c>
      <c r="L30" s="79">
        <v>744.25</v>
      </c>
      <c r="M30" s="79">
        <v>1024</v>
      </c>
      <c r="N30" s="79"/>
      <c r="O30" s="79"/>
      <c r="P30" s="79"/>
      <c r="Q30" s="79"/>
      <c r="R30" s="42">
        <v>2888</v>
      </c>
      <c r="S30" s="128">
        <v>2.2000000000000002</v>
      </c>
      <c r="T30" s="141">
        <v>30</v>
      </c>
      <c r="U30" s="141">
        <f>T30*K30/1000</f>
        <v>24.42</v>
      </c>
      <c r="V30" s="141"/>
      <c r="W30" s="63">
        <f>X30-0.5</f>
        <v>50.6</v>
      </c>
      <c r="X30" s="92">
        <v>51.1</v>
      </c>
      <c r="Y30" s="43">
        <v>53.4</v>
      </c>
      <c r="Z30" s="91">
        <v>56.2</v>
      </c>
      <c r="AA30" s="91">
        <v>55.7</v>
      </c>
      <c r="AD30" s="43">
        <v>7.5</v>
      </c>
      <c r="AF30" s="90">
        <f t="shared" si="9"/>
        <v>5.6000000000000014</v>
      </c>
      <c r="AG30" s="90">
        <f t="shared" si="10"/>
        <v>11.06719367588933</v>
      </c>
      <c r="AH30" s="90">
        <f t="shared" si="11"/>
        <v>5.1000000000000014</v>
      </c>
      <c r="AI30" s="90">
        <f t="shared" si="12"/>
        <v>10.079051383399211</v>
      </c>
    </row>
    <row r="31" spans="1:35" s="36" customFormat="1" ht="34.5" customHeight="1">
      <c r="A31" s="28" t="s">
        <v>46</v>
      </c>
      <c r="B31" s="61" t="s">
        <v>90</v>
      </c>
      <c r="C31" s="65"/>
      <c r="D31" s="65"/>
      <c r="L31" s="69"/>
      <c r="M31" s="69"/>
      <c r="N31" s="69"/>
      <c r="O31" s="69"/>
      <c r="P31" s="69"/>
      <c r="Q31" s="69"/>
      <c r="S31" s="123"/>
      <c r="T31" s="141"/>
      <c r="U31" s="141"/>
      <c r="V31" s="141"/>
      <c r="AD31" s="65"/>
    </row>
    <row r="32" spans="1:35">
      <c r="A32" s="15" t="s">
        <v>47</v>
      </c>
      <c r="B32" s="15">
        <v>2</v>
      </c>
      <c r="C32" s="63">
        <v>3.1</v>
      </c>
      <c r="F32" s="15">
        <v>700</v>
      </c>
      <c r="L32" s="87">
        <f>14*(55+50)/2</f>
        <v>735</v>
      </c>
      <c r="M32" s="87">
        <v>1000</v>
      </c>
      <c r="N32" s="87"/>
      <c r="O32" s="87"/>
      <c r="P32" s="87"/>
      <c r="Q32" s="87"/>
      <c r="R32" s="134">
        <v>5764</v>
      </c>
      <c r="S32" s="120">
        <v>2.5</v>
      </c>
      <c r="T32" s="141"/>
      <c r="U32" s="141"/>
      <c r="V32" s="141"/>
      <c r="W32" s="1">
        <v>48.6</v>
      </c>
      <c r="X32" s="87">
        <v>49.1</v>
      </c>
      <c r="Y32" s="43">
        <v>52</v>
      </c>
      <c r="Z32" s="88">
        <v>55</v>
      </c>
      <c r="AA32" s="88">
        <v>56</v>
      </c>
      <c r="AB32" s="43">
        <v>64</v>
      </c>
      <c r="AC32" s="43">
        <v>74</v>
      </c>
      <c r="AD32" s="43">
        <v>78</v>
      </c>
      <c r="AF32" s="89">
        <f>Z32-W32</f>
        <v>6.3999999999999986</v>
      </c>
      <c r="AG32" s="89">
        <f>100 *AF32/W32</f>
        <v>13.168724279835388</v>
      </c>
      <c r="AH32" s="89">
        <f>AA32-W32</f>
        <v>7.3999999999999986</v>
      </c>
      <c r="AI32" s="89">
        <f>100 *AH32/W32</f>
        <v>15.226337448559669</v>
      </c>
    </row>
    <row r="33" spans="1:35">
      <c r="B33" s="15">
        <v>2.5</v>
      </c>
      <c r="C33" s="89">
        <v>3.7</v>
      </c>
      <c r="D33" s="89"/>
      <c r="S33" s="120">
        <v>3</v>
      </c>
      <c r="T33" s="141"/>
      <c r="U33" s="141"/>
      <c r="V33" s="141"/>
    </row>
    <row r="34" spans="1:35">
      <c r="B34" s="15">
        <v>4.5</v>
      </c>
      <c r="C34" s="63">
        <v>5.2</v>
      </c>
      <c r="S34" s="120">
        <v>3.7</v>
      </c>
      <c r="T34" s="141"/>
      <c r="U34" s="141"/>
      <c r="V34" s="141"/>
    </row>
    <row r="35" spans="1:35" s="80" customFormat="1">
      <c r="A35" s="80" t="s">
        <v>99</v>
      </c>
      <c r="C35" s="81"/>
      <c r="D35" s="81"/>
      <c r="L35" s="82"/>
      <c r="M35" s="82"/>
      <c r="N35" s="82"/>
      <c r="O35" s="82"/>
      <c r="P35" s="82"/>
      <c r="Q35" s="82"/>
      <c r="S35" s="126"/>
      <c r="T35" s="141"/>
      <c r="U35" s="141"/>
      <c r="V35" s="141"/>
      <c r="AD35" s="81"/>
    </row>
    <row r="36" spans="1:35" s="36" customFormat="1" ht="46.5" customHeight="1">
      <c r="A36" s="68" t="s">
        <v>95</v>
      </c>
      <c r="B36" s="61" t="s">
        <v>91</v>
      </c>
      <c r="C36" s="65"/>
      <c r="D36" s="65"/>
      <c r="L36" s="69"/>
      <c r="M36" s="69"/>
      <c r="N36" s="69"/>
      <c r="O36" s="69"/>
      <c r="P36" s="69"/>
      <c r="Q36" s="69"/>
      <c r="S36" s="123"/>
      <c r="T36" s="141"/>
      <c r="U36" s="141"/>
      <c r="V36" s="141"/>
      <c r="AD36" s="65"/>
    </row>
    <row r="37" spans="1:35">
      <c r="A37" s="15" t="s">
        <v>89</v>
      </c>
      <c r="B37" s="63">
        <v>6.0222561640846619</v>
      </c>
      <c r="C37" s="67">
        <v>2</v>
      </c>
      <c r="D37" s="67"/>
      <c r="E37" s="3"/>
      <c r="F37" s="3"/>
      <c r="G37" s="3"/>
      <c r="H37" s="25"/>
      <c r="I37" s="25"/>
      <c r="J37" s="25"/>
      <c r="K37" s="2">
        <v>0</v>
      </c>
      <c r="L37" s="3">
        <v>541.70000000000005</v>
      </c>
      <c r="M37" s="2"/>
      <c r="N37" s="2"/>
      <c r="O37" s="2"/>
      <c r="P37" s="2"/>
      <c r="Q37" s="2"/>
      <c r="R37" s="2">
        <v>1000</v>
      </c>
      <c r="S37" s="26"/>
      <c r="T37" s="26"/>
      <c r="U37" s="26"/>
      <c r="V37" s="26"/>
      <c r="W37" s="26">
        <v>48</v>
      </c>
      <c r="X37" s="3">
        <v>48.5</v>
      </c>
      <c r="Y37" s="7"/>
      <c r="Z37" s="3">
        <v>55.2</v>
      </c>
      <c r="AA37" s="7">
        <v>38.578572987126336</v>
      </c>
      <c r="AB37" s="47">
        <v>0</v>
      </c>
      <c r="AC37" s="47">
        <v>0</v>
      </c>
      <c r="AD37" s="7">
        <v>0</v>
      </c>
      <c r="AE37" s="1"/>
      <c r="AF37" s="63">
        <f t="shared" ref="AF37:AF50" si="13">Z37-W37</f>
        <v>7.2000000000000028</v>
      </c>
      <c r="AG37" s="63">
        <f t="shared" ref="AG37:AG50" si="14">100 *AF37/W37</f>
        <v>15.000000000000005</v>
      </c>
      <c r="AH37" s="63">
        <f t="shared" ref="AH37:AH50" si="15">AA37-W37</f>
        <v>-9.4214270128736644</v>
      </c>
      <c r="AI37" s="63">
        <f t="shared" ref="AI37:AI50" si="16">100 *AH37/W37</f>
        <v>-19.6279729434868</v>
      </c>
    </row>
    <row r="38" spans="1:35">
      <c r="A38" s="15" t="s">
        <v>89</v>
      </c>
      <c r="B38" s="63">
        <v>4.9972840847365569</v>
      </c>
      <c r="C38" s="67">
        <v>2</v>
      </c>
      <c r="D38" s="67"/>
      <c r="E38" s="3"/>
      <c r="F38" s="3"/>
      <c r="G38" s="3"/>
      <c r="H38" s="25"/>
      <c r="I38" s="25"/>
      <c r="J38" s="25"/>
      <c r="K38" s="64">
        <v>94</v>
      </c>
      <c r="L38" s="3">
        <v>541.70000000000005</v>
      </c>
      <c r="M38" s="64"/>
      <c r="N38" s="64"/>
      <c r="O38" s="64"/>
      <c r="P38" s="64"/>
      <c r="Q38" s="64"/>
      <c r="R38" s="64">
        <v>1094</v>
      </c>
      <c r="S38" s="22"/>
      <c r="T38" s="22"/>
      <c r="U38" s="22"/>
      <c r="V38" s="22"/>
      <c r="W38" s="26">
        <v>48</v>
      </c>
      <c r="X38" s="3">
        <v>48.5</v>
      </c>
      <c r="Y38" s="7"/>
      <c r="Z38" s="3">
        <v>55.2</v>
      </c>
      <c r="AA38" s="7">
        <v>41.407495926127105</v>
      </c>
      <c r="AB38" s="47">
        <v>0</v>
      </c>
      <c r="AC38" s="47">
        <v>0</v>
      </c>
      <c r="AD38" s="7">
        <v>0</v>
      </c>
      <c r="AE38" s="1"/>
      <c r="AF38" s="63">
        <f t="shared" si="13"/>
        <v>7.2000000000000028</v>
      </c>
      <c r="AG38" s="63">
        <f t="shared" si="14"/>
        <v>15.000000000000005</v>
      </c>
      <c r="AH38" s="63">
        <f t="shared" si="15"/>
        <v>-6.5925040738728953</v>
      </c>
      <c r="AI38" s="63">
        <f t="shared" si="16"/>
        <v>-13.734383487235199</v>
      </c>
    </row>
    <row r="39" spans="1:35">
      <c r="A39" s="15" t="s">
        <v>89</v>
      </c>
      <c r="B39" s="63">
        <v>3.9982616253802705</v>
      </c>
      <c r="C39" s="67">
        <v>2</v>
      </c>
      <c r="D39" s="67"/>
      <c r="E39" s="3"/>
      <c r="F39" s="3"/>
      <c r="G39" s="3"/>
      <c r="H39" s="25"/>
      <c r="I39" s="25"/>
      <c r="J39" s="25"/>
      <c r="K39" s="2">
        <v>232</v>
      </c>
      <c r="L39" s="3">
        <v>541.70000000000005</v>
      </c>
      <c r="M39" s="2"/>
      <c r="N39" s="2"/>
      <c r="O39" s="2"/>
      <c r="P39" s="2"/>
      <c r="Q39" s="2"/>
      <c r="R39" s="2">
        <v>1232</v>
      </c>
      <c r="S39" s="26"/>
      <c r="T39" s="26"/>
      <c r="U39" s="26"/>
      <c r="V39" s="26"/>
      <c r="W39" s="26">
        <v>48</v>
      </c>
      <c r="X39" s="3">
        <v>48.5</v>
      </c>
      <c r="Y39" s="7"/>
      <c r="Z39" s="3">
        <v>55.2</v>
      </c>
      <c r="AA39" s="7">
        <v>44.164797913950451</v>
      </c>
      <c r="AB39" s="47">
        <v>0</v>
      </c>
      <c r="AC39" s="47">
        <v>0</v>
      </c>
      <c r="AD39" s="7">
        <v>0</v>
      </c>
      <c r="AE39" s="1"/>
      <c r="AF39" s="63">
        <f t="shared" si="13"/>
        <v>7.2000000000000028</v>
      </c>
      <c r="AG39" s="63">
        <f t="shared" si="14"/>
        <v>15.000000000000005</v>
      </c>
      <c r="AH39" s="63">
        <f t="shared" si="15"/>
        <v>-3.8352020860495486</v>
      </c>
      <c r="AI39" s="63">
        <f t="shared" si="16"/>
        <v>-7.9900043459365593</v>
      </c>
    </row>
    <row r="40" spans="1:35">
      <c r="A40" s="15" t="s">
        <v>89</v>
      </c>
      <c r="B40" s="63">
        <v>2.9957668511885385</v>
      </c>
      <c r="C40" s="67">
        <v>2</v>
      </c>
      <c r="D40" s="67"/>
      <c r="E40" s="3"/>
      <c r="F40" s="3"/>
      <c r="G40" s="3"/>
      <c r="H40" s="25"/>
      <c r="I40" s="25"/>
      <c r="J40" s="25"/>
      <c r="K40" s="2">
        <v>463</v>
      </c>
      <c r="L40" s="3">
        <v>541.70000000000005</v>
      </c>
      <c r="M40" s="2"/>
      <c r="N40" s="2"/>
      <c r="O40" s="2"/>
      <c r="P40" s="2"/>
      <c r="Q40" s="2"/>
      <c r="R40" s="2">
        <v>1463</v>
      </c>
      <c r="S40" s="26"/>
      <c r="T40" s="26"/>
      <c r="U40" s="26"/>
      <c r="V40" s="26"/>
      <c r="W40" s="26">
        <v>48</v>
      </c>
      <c r="X40" s="3">
        <v>48.5</v>
      </c>
      <c r="Y40" s="7"/>
      <c r="Z40" s="3">
        <v>55.2</v>
      </c>
      <c r="AA40" s="7">
        <v>46.931683490719635</v>
      </c>
      <c r="AB40" s="47">
        <v>13.858417453598172</v>
      </c>
      <c r="AC40" s="47">
        <v>0</v>
      </c>
      <c r="AD40" s="7">
        <v>0</v>
      </c>
      <c r="AE40" s="1"/>
      <c r="AF40" s="63">
        <f t="shared" si="13"/>
        <v>7.2000000000000028</v>
      </c>
      <c r="AG40" s="63">
        <f t="shared" si="14"/>
        <v>15.000000000000005</v>
      </c>
      <c r="AH40" s="63">
        <f t="shared" si="15"/>
        <v>-1.0683165092803648</v>
      </c>
      <c r="AI40" s="63">
        <f t="shared" si="16"/>
        <v>-2.2256593943340932</v>
      </c>
    </row>
    <row r="41" spans="1:35">
      <c r="A41" s="15" t="s">
        <v>89</v>
      </c>
      <c r="B41" s="63">
        <v>2.0024668069360807</v>
      </c>
      <c r="C41" s="67">
        <v>2</v>
      </c>
      <c r="D41" s="67"/>
      <c r="E41" s="3"/>
      <c r="F41" s="3"/>
      <c r="G41" s="3"/>
      <c r="H41" s="25"/>
      <c r="I41" s="25"/>
      <c r="J41" s="25"/>
      <c r="K41" s="2">
        <v>920</v>
      </c>
      <c r="L41" s="3">
        <v>541.70000000000005</v>
      </c>
      <c r="M41" s="2"/>
      <c r="N41" s="2"/>
      <c r="O41" s="2"/>
      <c r="P41" s="2"/>
      <c r="Q41" s="2"/>
      <c r="R41" s="2">
        <v>1920</v>
      </c>
      <c r="S41" s="26"/>
      <c r="T41" s="26"/>
      <c r="U41" s="26"/>
      <c r="V41" s="26"/>
      <c r="W41" s="26">
        <v>48</v>
      </c>
      <c r="X41" s="3">
        <v>48.5</v>
      </c>
      <c r="Y41" s="7"/>
      <c r="Z41" s="3">
        <v>55.2</v>
      </c>
      <c r="AA41" s="7">
        <v>49.673191612856421</v>
      </c>
      <c r="AB41" s="47">
        <v>27.565958064282086</v>
      </c>
      <c r="AC41" s="47">
        <v>0</v>
      </c>
      <c r="AD41" s="7">
        <v>0</v>
      </c>
      <c r="AE41" s="1"/>
      <c r="AF41" s="63">
        <f t="shared" si="13"/>
        <v>7.2000000000000028</v>
      </c>
      <c r="AG41" s="63">
        <f t="shared" si="14"/>
        <v>15.000000000000005</v>
      </c>
      <c r="AH41" s="63">
        <f t="shared" si="15"/>
        <v>1.6731916128564208</v>
      </c>
      <c r="AI41" s="63">
        <f t="shared" si="16"/>
        <v>3.4858158601175435</v>
      </c>
    </row>
    <row r="42" spans="1:35">
      <c r="A42" s="15" t="s">
        <v>89</v>
      </c>
      <c r="B42" s="63">
        <v>0.9970017700393744</v>
      </c>
      <c r="C42" s="67">
        <v>2</v>
      </c>
      <c r="D42" s="67"/>
      <c r="E42" s="3"/>
      <c r="F42" s="3"/>
      <c r="G42" s="3"/>
      <c r="H42" s="25"/>
      <c r="I42" s="25"/>
      <c r="J42" s="25"/>
      <c r="K42" s="2">
        <v>2310</v>
      </c>
      <c r="L42" s="3">
        <v>541.70000000000005</v>
      </c>
      <c r="M42" s="2"/>
      <c r="N42" s="2"/>
      <c r="O42" s="2"/>
      <c r="P42" s="2"/>
      <c r="Q42" s="2"/>
      <c r="R42" s="2">
        <v>3310</v>
      </c>
      <c r="S42" s="26"/>
      <c r="T42" s="26"/>
      <c r="U42" s="26"/>
      <c r="V42" s="26"/>
      <c r="W42" s="26">
        <v>48</v>
      </c>
      <c r="X42" s="3">
        <v>48.5</v>
      </c>
      <c r="Y42" s="7"/>
      <c r="Z42" s="3">
        <v>55.2</v>
      </c>
      <c r="AA42" s="7">
        <v>52.448275114691327</v>
      </c>
      <c r="AB42" s="47">
        <v>41.441375573456639</v>
      </c>
      <c r="AC42" s="47">
        <v>27.682751146913269</v>
      </c>
      <c r="AD42" s="7">
        <v>13.924126720369898</v>
      </c>
      <c r="AE42" s="24"/>
      <c r="AF42" s="63">
        <f t="shared" si="13"/>
        <v>7.2000000000000028</v>
      </c>
      <c r="AG42" s="63">
        <f t="shared" si="14"/>
        <v>15.000000000000005</v>
      </c>
      <c r="AH42" s="63">
        <f t="shared" si="15"/>
        <v>4.4482751146913273</v>
      </c>
      <c r="AI42" s="63">
        <f t="shared" si="16"/>
        <v>9.2672398222735985</v>
      </c>
    </row>
    <row r="43" spans="1:35">
      <c r="A43" s="15" t="s">
        <v>89</v>
      </c>
      <c r="B43" s="63">
        <v>0.49655470197722329</v>
      </c>
      <c r="C43" s="67">
        <v>2</v>
      </c>
      <c r="D43" s="67"/>
      <c r="E43" s="3"/>
      <c r="F43" s="3"/>
      <c r="G43" s="3"/>
      <c r="H43" s="25"/>
      <c r="I43" s="25"/>
      <c r="J43" s="25"/>
      <c r="K43" s="2">
        <v>5100</v>
      </c>
      <c r="L43" s="3">
        <v>541.70000000000005</v>
      </c>
      <c r="M43" s="2"/>
      <c r="N43" s="2"/>
      <c r="O43" s="2"/>
      <c r="P43" s="2"/>
      <c r="Q43" s="2"/>
      <c r="R43" s="2">
        <v>6100</v>
      </c>
      <c r="S43" s="26"/>
      <c r="T43" s="26"/>
      <c r="U43" s="26"/>
      <c r="V43" s="26"/>
      <c r="W43" s="26">
        <v>48</v>
      </c>
      <c r="X43" s="3">
        <v>48.5</v>
      </c>
      <c r="Y43" s="7"/>
      <c r="Z43" s="3">
        <v>55.2</v>
      </c>
      <c r="AA43" s="7">
        <v>53.829509022542865</v>
      </c>
      <c r="AB43" s="47">
        <v>48.347545112714322</v>
      </c>
      <c r="AC43" s="47">
        <v>41.49509022542864</v>
      </c>
      <c r="AD43" s="7">
        <v>34.642635338142952</v>
      </c>
      <c r="AE43" s="1"/>
      <c r="AF43" s="63">
        <f t="shared" si="13"/>
        <v>7.2000000000000028</v>
      </c>
      <c r="AG43" s="63">
        <f t="shared" si="14"/>
        <v>15.000000000000005</v>
      </c>
      <c r="AH43" s="63">
        <f t="shared" si="15"/>
        <v>5.8295090225428652</v>
      </c>
      <c r="AI43" s="63">
        <f t="shared" si="16"/>
        <v>12.14481046363097</v>
      </c>
    </row>
    <row r="44" spans="1:35">
      <c r="A44" s="1" t="s">
        <v>93</v>
      </c>
      <c r="B44" s="63">
        <v>11.34</v>
      </c>
      <c r="C44" s="67">
        <v>2</v>
      </c>
      <c r="D44" s="67"/>
      <c r="E44" s="3"/>
      <c r="F44" s="3"/>
      <c r="G44" s="3"/>
      <c r="H44" s="25"/>
      <c r="I44" s="25"/>
      <c r="J44" s="25"/>
      <c r="K44" s="2">
        <v>0</v>
      </c>
      <c r="L44" s="3">
        <v>541.70000000000005</v>
      </c>
      <c r="M44" s="3">
        <v>750</v>
      </c>
      <c r="N44" s="25"/>
      <c r="O44" s="25"/>
      <c r="P44" s="25"/>
      <c r="Q44" s="25"/>
      <c r="R44" s="2">
        <v>1000</v>
      </c>
      <c r="S44" s="26"/>
      <c r="T44" s="26"/>
      <c r="U44" s="26"/>
      <c r="V44" s="26"/>
      <c r="W44" s="26">
        <v>48</v>
      </c>
      <c r="X44" s="3">
        <v>48.5</v>
      </c>
      <c r="Y44" s="7"/>
      <c r="Z44" s="3">
        <v>55.2</v>
      </c>
      <c r="AA44" s="3">
        <v>56.7</v>
      </c>
      <c r="AB44" s="47">
        <v>0</v>
      </c>
      <c r="AC44" s="47">
        <v>0</v>
      </c>
      <c r="AD44" s="7">
        <v>0</v>
      </c>
      <c r="AE44" s="1"/>
      <c r="AF44" s="63">
        <f t="shared" si="13"/>
        <v>7.2000000000000028</v>
      </c>
      <c r="AG44" s="63">
        <f t="shared" si="14"/>
        <v>15.000000000000005</v>
      </c>
      <c r="AH44" s="63">
        <f t="shared" si="15"/>
        <v>8.7000000000000028</v>
      </c>
      <c r="AI44" s="63">
        <f t="shared" si="16"/>
        <v>18.125000000000004</v>
      </c>
    </row>
    <row r="45" spans="1:35">
      <c r="A45" s="1" t="s">
        <v>93</v>
      </c>
      <c r="B45" s="63">
        <v>5</v>
      </c>
      <c r="C45" s="67">
        <v>2</v>
      </c>
      <c r="D45" s="67"/>
      <c r="E45" s="3"/>
      <c r="F45" s="3"/>
      <c r="G45" s="3"/>
      <c r="H45" s="25"/>
      <c r="I45" s="25"/>
      <c r="J45" s="25"/>
      <c r="K45" s="2">
        <v>317</v>
      </c>
      <c r="L45" s="3">
        <v>541.70000000000005</v>
      </c>
      <c r="M45" s="3">
        <v>750</v>
      </c>
      <c r="N45" s="25"/>
      <c r="O45" s="25"/>
      <c r="P45" s="25"/>
      <c r="Q45" s="25"/>
      <c r="R45" s="2">
        <v>1317</v>
      </c>
      <c r="S45" s="26"/>
      <c r="T45" s="26"/>
      <c r="U45" s="26"/>
      <c r="V45" s="26"/>
      <c r="W45" s="26">
        <v>48</v>
      </c>
      <c r="X45" s="3">
        <v>48.5</v>
      </c>
      <c r="Y45" s="7"/>
      <c r="Z45" s="3">
        <v>55.2</v>
      </c>
      <c r="AA45" s="3">
        <v>56.7</v>
      </c>
      <c r="AB45" s="47">
        <v>0</v>
      </c>
      <c r="AC45" s="47">
        <v>0</v>
      </c>
      <c r="AD45" s="7">
        <v>0</v>
      </c>
      <c r="AE45" s="1"/>
      <c r="AF45" s="63">
        <f t="shared" si="13"/>
        <v>7.2000000000000028</v>
      </c>
      <c r="AG45" s="63">
        <f t="shared" si="14"/>
        <v>15.000000000000005</v>
      </c>
      <c r="AH45" s="63">
        <f t="shared" si="15"/>
        <v>8.7000000000000028</v>
      </c>
      <c r="AI45" s="63">
        <f t="shared" si="16"/>
        <v>18.125000000000004</v>
      </c>
    </row>
    <row r="46" spans="1:35">
      <c r="A46" s="1" t="s">
        <v>93</v>
      </c>
      <c r="B46" s="63">
        <v>3.9985895627644572</v>
      </c>
      <c r="C46" s="67">
        <v>2</v>
      </c>
      <c r="D46" s="67"/>
      <c r="E46" s="3"/>
      <c r="F46" s="3"/>
      <c r="G46" s="3"/>
      <c r="H46" s="25"/>
      <c r="I46" s="25"/>
      <c r="J46" s="25"/>
      <c r="K46" s="2">
        <v>459</v>
      </c>
      <c r="L46" s="3">
        <v>541.70000000000005</v>
      </c>
      <c r="M46" s="3">
        <v>750</v>
      </c>
      <c r="N46" s="25"/>
      <c r="O46" s="25"/>
      <c r="P46" s="25"/>
      <c r="Q46" s="25"/>
      <c r="R46" s="2">
        <v>1459</v>
      </c>
      <c r="S46" s="26"/>
      <c r="T46" s="26"/>
      <c r="U46" s="26"/>
      <c r="V46" s="26"/>
      <c r="W46" s="26">
        <v>48</v>
      </c>
      <c r="X46" s="3">
        <v>48.5</v>
      </c>
      <c r="Y46" s="7"/>
      <c r="Z46" s="3">
        <v>55.2</v>
      </c>
      <c r="AA46" s="3">
        <v>56.7</v>
      </c>
      <c r="AB46" s="47">
        <v>11.355994358251053</v>
      </c>
      <c r="AC46" s="47">
        <v>0</v>
      </c>
      <c r="AD46" s="7">
        <v>0</v>
      </c>
      <c r="AE46" s="1"/>
      <c r="AF46" s="63">
        <f t="shared" si="13"/>
        <v>7.2000000000000028</v>
      </c>
      <c r="AG46" s="63">
        <f t="shared" si="14"/>
        <v>15.000000000000005</v>
      </c>
      <c r="AH46" s="63">
        <f t="shared" si="15"/>
        <v>8.7000000000000028</v>
      </c>
      <c r="AI46" s="63">
        <f t="shared" si="16"/>
        <v>18.125000000000004</v>
      </c>
    </row>
    <row r="47" spans="1:35">
      <c r="A47" s="1" t="s">
        <v>93</v>
      </c>
      <c r="B47" s="63">
        <v>3.0000000000000004</v>
      </c>
      <c r="C47" s="67">
        <v>2</v>
      </c>
      <c r="D47" s="67"/>
      <c r="E47" s="3"/>
      <c r="F47" s="3"/>
      <c r="G47" s="3"/>
      <c r="H47" s="25"/>
      <c r="I47" s="25"/>
      <c r="J47" s="25"/>
      <c r="K47" s="2">
        <v>695</v>
      </c>
      <c r="L47" s="3">
        <v>541.70000000000005</v>
      </c>
      <c r="M47" s="3">
        <v>750</v>
      </c>
      <c r="N47" s="25"/>
      <c r="O47" s="25"/>
      <c r="P47" s="25"/>
      <c r="Q47" s="25"/>
      <c r="R47" s="2">
        <v>1695</v>
      </c>
      <c r="S47" s="26"/>
      <c r="T47" s="26"/>
      <c r="U47" s="26"/>
      <c r="V47" s="26"/>
      <c r="W47" s="26">
        <v>48</v>
      </c>
      <c r="X47" s="3">
        <v>48.5</v>
      </c>
      <c r="Y47" s="7"/>
      <c r="Z47" s="3">
        <v>55.2</v>
      </c>
      <c r="AA47" s="3">
        <v>56.7</v>
      </c>
      <c r="AB47" s="47">
        <v>22.68</v>
      </c>
      <c r="AC47" s="47">
        <v>0</v>
      </c>
      <c r="AD47" s="7">
        <v>0</v>
      </c>
      <c r="AE47" s="1"/>
      <c r="AF47" s="63">
        <f t="shared" si="13"/>
        <v>7.2000000000000028</v>
      </c>
      <c r="AG47" s="63">
        <f t="shared" si="14"/>
        <v>15.000000000000005</v>
      </c>
      <c r="AH47" s="63">
        <f t="shared" si="15"/>
        <v>8.7000000000000028</v>
      </c>
      <c r="AI47" s="63">
        <f t="shared" si="16"/>
        <v>18.125000000000004</v>
      </c>
    </row>
    <row r="48" spans="1:35">
      <c r="A48" s="1" t="s">
        <v>93</v>
      </c>
      <c r="B48" s="63">
        <v>2.0035335689045937</v>
      </c>
      <c r="C48" s="67">
        <v>2</v>
      </c>
      <c r="D48" s="67"/>
      <c r="E48" s="3"/>
      <c r="F48" s="3"/>
      <c r="G48" s="3"/>
      <c r="H48" s="25"/>
      <c r="I48" s="25"/>
      <c r="J48" s="25"/>
      <c r="K48" s="2">
        <v>1165</v>
      </c>
      <c r="L48" s="3">
        <v>541.70000000000005</v>
      </c>
      <c r="M48" s="3">
        <v>750</v>
      </c>
      <c r="N48" s="25"/>
      <c r="O48" s="25"/>
      <c r="P48" s="25"/>
      <c r="Q48" s="25"/>
      <c r="R48" s="2">
        <v>2165</v>
      </c>
      <c r="S48" s="26"/>
      <c r="T48" s="26"/>
      <c r="U48" s="26"/>
      <c r="V48" s="26"/>
      <c r="W48" s="26">
        <v>48</v>
      </c>
      <c r="X48" s="3">
        <v>48.5</v>
      </c>
      <c r="Y48" s="7"/>
      <c r="Z48" s="3">
        <v>55.2</v>
      </c>
      <c r="AA48" s="3">
        <v>56.7</v>
      </c>
      <c r="AB48" s="47">
        <v>33.979929328621907</v>
      </c>
      <c r="AC48" s="47">
        <v>5.579840989399294</v>
      </c>
      <c r="AD48" s="7">
        <v>0</v>
      </c>
      <c r="AE48" s="24"/>
      <c r="AF48" s="63">
        <f t="shared" si="13"/>
        <v>7.2000000000000028</v>
      </c>
      <c r="AG48" s="63">
        <f t="shared" si="14"/>
        <v>15.000000000000005</v>
      </c>
      <c r="AH48" s="63">
        <f t="shared" si="15"/>
        <v>8.7000000000000028</v>
      </c>
      <c r="AI48" s="63">
        <f t="shared" si="16"/>
        <v>18.125000000000004</v>
      </c>
    </row>
    <row r="49" spans="1:35">
      <c r="A49" s="1" t="s">
        <v>93</v>
      </c>
      <c r="B49" s="63">
        <v>0.99823943661971837</v>
      </c>
      <c r="C49" s="67">
        <v>2</v>
      </c>
      <c r="D49" s="67"/>
      <c r="E49" s="3"/>
      <c r="F49" s="3"/>
      <c r="G49" s="3"/>
      <c r="H49" s="25"/>
      <c r="I49" s="25"/>
      <c r="J49" s="25"/>
      <c r="K49" s="2">
        <v>2590</v>
      </c>
      <c r="L49" s="3">
        <v>541.70000000000005</v>
      </c>
      <c r="M49" s="3">
        <v>750</v>
      </c>
      <c r="N49" s="25"/>
      <c r="O49" s="25"/>
      <c r="P49" s="25"/>
      <c r="Q49" s="25"/>
      <c r="R49" s="2">
        <v>3590</v>
      </c>
      <c r="S49" s="26"/>
      <c r="T49" s="26"/>
      <c r="U49" s="26"/>
      <c r="V49" s="26"/>
      <c r="W49" s="26">
        <v>48</v>
      </c>
      <c r="X49" s="3">
        <v>48.5</v>
      </c>
      <c r="Y49" s="7"/>
      <c r="Z49" s="3">
        <v>55.2</v>
      </c>
      <c r="AA49" s="3">
        <v>56.7</v>
      </c>
      <c r="AB49" s="47">
        <v>45.379964788732394</v>
      </c>
      <c r="AC49" s="47">
        <v>31.229920774647887</v>
      </c>
      <c r="AD49" s="7">
        <v>17.07987676056338</v>
      </c>
      <c r="AE49" s="1"/>
      <c r="AF49" s="63">
        <f t="shared" si="13"/>
        <v>7.2000000000000028</v>
      </c>
      <c r="AG49" s="63">
        <f t="shared" si="14"/>
        <v>15.000000000000005</v>
      </c>
      <c r="AH49" s="63">
        <f t="shared" si="15"/>
        <v>8.7000000000000028</v>
      </c>
      <c r="AI49" s="63">
        <f t="shared" si="16"/>
        <v>18.125000000000004</v>
      </c>
    </row>
    <row r="50" spans="1:35">
      <c r="A50" s="1" t="s">
        <v>93</v>
      </c>
      <c r="B50" s="63">
        <v>0.50176991150442474</v>
      </c>
      <c r="C50" s="67">
        <v>2</v>
      </c>
      <c r="D50" s="67"/>
      <c r="E50" s="3"/>
      <c r="F50" s="3"/>
      <c r="G50" s="3"/>
      <c r="H50" s="25"/>
      <c r="I50" s="25"/>
      <c r="J50" s="25"/>
      <c r="K50" s="2">
        <v>5400</v>
      </c>
      <c r="L50" s="2"/>
      <c r="M50" s="2"/>
      <c r="N50" s="2"/>
      <c r="O50" s="2"/>
      <c r="P50" s="2"/>
      <c r="Q50" s="2"/>
      <c r="R50" s="2">
        <v>6400</v>
      </c>
      <c r="S50" s="26"/>
      <c r="T50" s="26"/>
      <c r="U50" s="26"/>
      <c r="V50" s="26"/>
      <c r="W50" s="26">
        <v>48</v>
      </c>
      <c r="X50" s="3">
        <v>48.5</v>
      </c>
      <c r="Y50" s="7"/>
      <c r="Z50" s="3">
        <v>55.2</v>
      </c>
      <c r="AA50" s="3">
        <v>56.7</v>
      </c>
      <c r="AB50" s="47">
        <v>51.009929203539826</v>
      </c>
      <c r="AC50" s="47">
        <v>43.897340707964602</v>
      </c>
      <c r="AD50" s="7">
        <v>36.784752212389378</v>
      </c>
      <c r="AE50" s="4"/>
      <c r="AF50" s="63">
        <f t="shared" si="13"/>
        <v>7.2000000000000028</v>
      </c>
      <c r="AG50" s="63">
        <f t="shared" si="14"/>
        <v>15.000000000000005</v>
      </c>
      <c r="AH50" s="63">
        <f t="shared" si="15"/>
        <v>8.7000000000000028</v>
      </c>
      <c r="AI50" s="63">
        <f t="shared" si="16"/>
        <v>18.125000000000004</v>
      </c>
    </row>
    <row r="51" spans="1:35" s="36" customFormat="1" ht="48.75" customHeight="1">
      <c r="A51" s="68" t="s">
        <v>94</v>
      </c>
      <c r="B51" s="61" t="s">
        <v>91</v>
      </c>
      <c r="C51" s="65"/>
      <c r="D51" s="65"/>
      <c r="L51" s="69"/>
      <c r="M51" s="69"/>
      <c r="N51" s="69"/>
      <c r="O51" s="69"/>
      <c r="P51" s="69"/>
      <c r="Q51" s="69"/>
      <c r="S51" s="123"/>
      <c r="T51" s="123"/>
      <c r="U51" s="123"/>
      <c r="V51" s="123"/>
      <c r="AD51" s="65"/>
    </row>
    <row r="52" spans="1:35">
      <c r="A52" s="15" t="s">
        <v>89</v>
      </c>
      <c r="B52" s="63">
        <v>6.0222561640846619</v>
      </c>
      <c r="C52" s="7">
        <v>2.0000032000000001</v>
      </c>
      <c r="D52" s="7"/>
      <c r="E52" s="3"/>
      <c r="F52" s="3"/>
      <c r="G52" s="3"/>
      <c r="H52" s="25"/>
      <c r="I52" s="25"/>
      <c r="J52" s="25"/>
      <c r="K52" s="2">
        <v>0</v>
      </c>
      <c r="L52" s="3">
        <v>541.70000000000005</v>
      </c>
      <c r="M52" s="2"/>
      <c r="N52" s="2"/>
      <c r="O52" s="2"/>
      <c r="P52" s="2"/>
      <c r="Q52" s="2"/>
      <c r="R52" s="2">
        <v>1000</v>
      </c>
      <c r="S52" s="26"/>
      <c r="T52" s="26"/>
      <c r="U52" s="26"/>
      <c r="V52" s="26"/>
      <c r="W52" s="26">
        <v>48</v>
      </c>
      <c r="X52" s="3">
        <v>48.5</v>
      </c>
      <c r="Y52" s="7"/>
      <c r="Z52" s="3">
        <v>55.2</v>
      </c>
      <c r="AA52" s="7">
        <v>38.578572987126336</v>
      </c>
      <c r="AB52" s="47">
        <v>0</v>
      </c>
      <c r="AC52" s="47">
        <v>0</v>
      </c>
      <c r="AD52" s="7">
        <v>0</v>
      </c>
      <c r="AF52" s="63">
        <f t="shared" ref="AF52:AF65" si="17">Z52-W52</f>
        <v>7.2000000000000028</v>
      </c>
      <c r="AG52" s="63">
        <f t="shared" ref="AG52:AG65" si="18">100 *AF52/W52</f>
        <v>15.000000000000005</v>
      </c>
      <c r="AH52" s="63">
        <f t="shared" ref="AH52:AH65" si="19">AA52-W52</f>
        <v>-9.4214270128736644</v>
      </c>
      <c r="AI52" s="63">
        <f t="shared" ref="AI52:AI65" si="20">100 *AH52/W52</f>
        <v>-19.6279729434868</v>
      </c>
    </row>
    <row r="53" spans="1:35">
      <c r="A53" s="15" t="s">
        <v>89</v>
      </c>
      <c r="B53" s="63">
        <v>4.9972840847365569</v>
      </c>
      <c r="C53" s="7">
        <v>2.0744534713032001</v>
      </c>
      <c r="D53" s="7"/>
      <c r="E53" s="3"/>
      <c r="F53" s="3"/>
      <c r="G53" s="3"/>
      <c r="H53" s="25"/>
      <c r="I53" s="25"/>
      <c r="J53" s="25"/>
      <c r="K53" s="2">
        <v>0</v>
      </c>
      <c r="L53" s="3">
        <v>541.70000000000005</v>
      </c>
      <c r="M53" s="2"/>
      <c r="N53" s="2"/>
      <c r="O53" s="2"/>
      <c r="P53" s="2"/>
      <c r="Q53" s="2"/>
      <c r="R53" s="64">
        <v>1094</v>
      </c>
      <c r="S53" s="22"/>
      <c r="T53" s="22"/>
      <c r="U53" s="22"/>
      <c r="V53" s="22"/>
      <c r="W53" s="26">
        <v>48</v>
      </c>
      <c r="X53" s="3">
        <v>48.5</v>
      </c>
      <c r="Y53" s="7"/>
      <c r="Z53" s="3">
        <v>55.2</v>
      </c>
      <c r="AA53" s="7">
        <v>41.407495926127105</v>
      </c>
      <c r="AB53" s="47">
        <v>0</v>
      </c>
      <c r="AC53" s="47">
        <v>0</v>
      </c>
      <c r="AD53" s="7">
        <v>0</v>
      </c>
      <c r="AF53" s="63">
        <f t="shared" si="17"/>
        <v>7.2000000000000028</v>
      </c>
      <c r="AG53" s="63">
        <f t="shared" si="18"/>
        <v>15.000000000000005</v>
      </c>
      <c r="AH53" s="63">
        <f t="shared" si="19"/>
        <v>-6.5925040738728953</v>
      </c>
      <c r="AI53" s="63">
        <f t="shared" si="20"/>
        <v>-13.734383487235199</v>
      </c>
    </row>
    <row r="54" spans="1:35">
      <c r="A54" s="15" t="s">
        <v>89</v>
      </c>
      <c r="B54" s="63">
        <v>3.9982616253802705</v>
      </c>
      <c r="C54" s="7">
        <v>2.1818470917888</v>
      </c>
      <c r="D54" s="7"/>
      <c r="E54" s="3"/>
      <c r="F54" s="3"/>
      <c r="G54" s="3"/>
      <c r="H54" s="25"/>
      <c r="I54" s="25"/>
      <c r="J54" s="25"/>
      <c r="K54" s="2">
        <v>0</v>
      </c>
      <c r="L54" s="3">
        <v>541.70000000000005</v>
      </c>
      <c r="M54" s="2"/>
      <c r="N54" s="2"/>
      <c r="O54" s="2"/>
      <c r="P54" s="2"/>
      <c r="Q54" s="2"/>
      <c r="R54" s="2">
        <v>1232</v>
      </c>
      <c r="S54" s="26"/>
      <c r="T54" s="26"/>
      <c r="U54" s="26"/>
      <c r="V54" s="26"/>
      <c r="W54" s="26">
        <v>48</v>
      </c>
      <c r="X54" s="3">
        <v>48.5</v>
      </c>
      <c r="Y54" s="7"/>
      <c r="Z54" s="3">
        <v>55.2</v>
      </c>
      <c r="AA54" s="7">
        <v>44.164797913950451</v>
      </c>
      <c r="AB54" s="47">
        <v>0</v>
      </c>
      <c r="AC54" s="47">
        <v>0</v>
      </c>
      <c r="AD54" s="7">
        <v>0</v>
      </c>
      <c r="AF54" s="63">
        <f t="shared" si="17"/>
        <v>7.2000000000000028</v>
      </c>
      <c r="AG54" s="63">
        <f t="shared" si="18"/>
        <v>15.000000000000005</v>
      </c>
      <c r="AH54" s="63">
        <f t="shared" si="19"/>
        <v>-3.8352020860495486</v>
      </c>
      <c r="AI54" s="63">
        <f t="shared" si="20"/>
        <v>-7.9900043459365593</v>
      </c>
    </row>
    <row r="55" spans="1:35">
      <c r="A55" s="15" t="s">
        <v>89</v>
      </c>
      <c r="B55" s="63">
        <v>2.9957668511885385</v>
      </c>
      <c r="C55" s="7">
        <v>2.3565409247178</v>
      </c>
      <c r="D55" s="7"/>
      <c r="E55" s="3"/>
      <c r="F55" s="3"/>
      <c r="G55" s="3"/>
      <c r="H55" s="25"/>
      <c r="I55" s="25"/>
      <c r="J55" s="25"/>
      <c r="K55" s="2">
        <v>0</v>
      </c>
      <c r="L55" s="3">
        <v>541.70000000000005</v>
      </c>
      <c r="M55" s="2"/>
      <c r="N55" s="2"/>
      <c r="O55" s="2"/>
      <c r="P55" s="2"/>
      <c r="Q55" s="2"/>
      <c r="R55" s="2">
        <v>1463</v>
      </c>
      <c r="S55" s="26"/>
      <c r="T55" s="26"/>
      <c r="U55" s="26"/>
      <c r="V55" s="26"/>
      <c r="W55" s="26">
        <v>48</v>
      </c>
      <c r="X55" s="3">
        <v>48.5</v>
      </c>
      <c r="Y55" s="7"/>
      <c r="Z55" s="3">
        <v>55.2</v>
      </c>
      <c r="AA55" s="7">
        <v>46.931683490719635</v>
      </c>
      <c r="AB55" s="47">
        <v>13.858417453598172</v>
      </c>
      <c r="AC55" s="47">
        <v>0</v>
      </c>
      <c r="AD55" s="7">
        <v>0</v>
      </c>
      <c r="AF55" s="63">
        <f t="shared" si="17"/>
        <v>7.2000000000000028</v>
      </c>
      <c r="AG55" s="63">
        <f t="shared" si="18"/>
        <v>15.000000000000005</v>
      </c>
      <c r="AH55" s="63">
        <f t="shared" si="19"/>
        <v>-1.0683165092803648</v>
      </c>
      <c r="AI55" s="63">
        <f t="shared" si="20"/>
        <v>-2.2256593943340932</v>
      </c>
    </row>
    <row r="56" spans="1:35">
      <c r="A56" s="15" t="s">
        <v>89</v>
      </c>
      <c r="B56" s="63">
        <v>2.0024668069360807</v>
      </c>
      <c r="C56" s="7">
        <v>2.6834321036800004</v>
      </c>
      <c r="D56" s="7"/>
      <c r="E56" s="3"/>
      <c r="F56" s="3"/>
      <c r="G56" s="3"/>
      <c r="H56" s="25"/>
      <c r="I56" s="25"/>
      <c r="J56" s="25"/>
      <c r="K56" s="2">
        <v>0</v>
      </c>
      <c r="L56" s="3">
        <v>541.70000000000005</v>
      </c>
      <c r="M56" s="2"/>
      <c r="N56" s="2"/>
      <c r="O56" s="2"/>
      <c r="P56" s="2"/>
      <c r="Q56" s="2"/>
      <c r="R56" s="2">
        <v>1920</v>
      </c>
      <c r="S56" s="26"/>
      <c r="T56" s="26"/>
      <c r="U56" s="26"/>
      <c r="V56" s="26"/>
      <c r="W56" s="26">
        <v>48</v>
      </c>
      <c r="X56" s="3">
        <v>48.5</v>
      </c>
      <c r="Y56" s="7"/>
      <c r="Z56" s="3">
        <v>55.2</v>
      </c>
      <c r="AA56" s="7">
        <v>49.673191612856421</v>
      </c>
      <c r="AB56" s="47">
        <v>27.565958064282086</v>
      </c>
      <c r="AC56" s="47">
        <v>0</v>
      </c>
      <c r="AD56" s="7">
        <v>0</v>
      </c>
      <c r="AF56" s="63">
        <f t="shared" si="17"/>
        <v>7.2000000000000028</v>
      </c>
      <c r="AG56" s="63">
        <f t="shared" si="18"/>
        <v>15.000000000000005</v>
      </c>
      <c r="AH56" s="63">
        <f t="shared" si="19"/>
        <v>1.6731916128564208</v>
      </c>
      <c r="AI56" s="63">
        <f t="shared" si="20"/>
        <v>3.4858158601175435</v>
      </c>
    </row>
    <row r="57" spans="1:35">
      <c r="A57" s="15" t="s">
        <v>89</v>
      </c>
      <c r="B57" s="63">
        <v>0.9970017700393744</v>
      </c>
      <c r="C57" s="7">
        <v>3.5248790648200004</v>
      </c>
      <c r="D57" s="7"/>
      <c r="E57" s="3"/>
      <c r="F57" s="3"/>
      <c r="G57" s="3"/>
      <c r="H57" s="25"/>
      <c r="I57" s="25"/>
      <c r="J57" s="25"/>
      <c r="K57" s="2">
        <v>0</v>
      </c>
      <c r="L57" s="3">
        <v>541.70000000000005</v>
      </c>
      <c r="M57" s="2"/>
      <c r="N57" s="2"/>
      <c r="O57" s="2"/>
      <c r="P57" s="2"/>
      <c r="Q57" s="2"/>
      <c r="R57" s="2">
        <v>3310</v>
      </c>
      <c r="S57" s="26"/>
      <c r="T57" s="26"/>
      <c r="U57" s="26"/>
      <c r="V57" s="26"/>
      <c r="W57" s="26">
        <v>48</v>
      </c>
      <c r="X57" s="3">
        <v>48.5</v>
      </c>
      <c r="Y57" s="7"/>
      <c r="Z57" s="3">
        <v>55.2</v>
      </c>
      <c r="AA57" s="7">
        <v>52.448275114691327</v>
      </c>
      <c r="AB57" s="47">
        <v>41.441375573456639</v>
      </c>
      <c r="AC57" s="47">
        <v>27.682751146913269</v>
      </c>
      <c r="AD57" s="7">
        <v>13.924126720369898</v>
      </c>
      <c r="AF57" s="63">
        <f t="shared" si="17"/>
        <v>7.2000000000000028</v>
      </c>
      <c r="AG57" s="63">
        <f t="shared" si="18"/>
        <v>15.000000000000005</v>
      </c>
      <c r="AH57" s="63">
        <f t="shared" si="19"/>
        <v>4.4482751146913273</v>
      </c>
      <c r="AI57" s="63">
        <f t="shared" si="20"/>
        <v>9.2672398222735985</v>
      </c>
    </row>
    <row r="58" spans="1:35">
      <c r="A58" s="15" t="s">
        <v>89</v>
      </c>
      <c r="B58" s="63">
        <v>0.49655470197722329</v>
      </c>
      <c r="C58" s="7">
        <v>4.5196481020000006</v>
      </c>
      <c r="D58" s="7"/>
      <c r="E58" s="3"/>
      <c r="F58" s="3"/>
      <c r="G58" s="3"/>
      <c r="H58" s="25"/>
      <c r="I58" s="25"/>
      <c r="J58" s="25"/>
      <c r="K58" s="2">
        <v>0</v>
      </c>
      <c r="L58" s="3">
        <v>541.70000000000005</v>
      </c>
      <c r="M58" s="2"/>
      <c r="N58" s="2"/>
      <c r="O58" s="2"/>
      <c r="P58" s="2"/>
      <c r="Q58" s="2"/>
      <c r="R58" s="2">
        <v>6100</v>
      </c>
      <c r="S58" s="26"/>
      <c r="T58" s="26"/>
      <c r="U58" s="26"/>
      <c r="V58" s="26"/>
      <c r="W58" s="26">
        <v>48</v>
      </c>
      <c r="X58" s="3">
        <v>48.5</v>
      </c>
      <c r="Y58" s="7"/>
      <c r="Z58" s="3">
        <v>55.2</v>
      </c>
      <c r="AA58" s="7">
        <v>53.829509022542865</v>
      </c>
      <c r="AB58" s="47">
        <v>48.347545112714322</v>
      </c>
      <c r="AC58" s="47">
        <v>41.49509022542864</v>
      </c>
      <c r="AD58" s="7">
        <v>34.642635338142952</v>
      </c>
      <c r="AF58" s="63">
        <f t="shared" si="17"/>
        <v>7.2000000000000028</v>
      </c>
      <c r="AG58" s="63">
        <f t="shared" si="18"/>
        <v>15.000000000000005</v>
      </c>
      <c r="AH58" s="63">
        <f t="shared" si="19"/>
        <v>5.8295090225428652</v>
      </c>
      <c r="AI58" s="63">
        <f t="shared" si="20"/>
        <v>12.14481046363097</v>
      </c>
    </row>
    <row r="59" spans="1:35">
      <c r="A59" s="1" t="s">
        <v>93</v>
      </c>
      <c r="B59" s="63">
        <v>11.34</v>
      </c>
      <c r="C59" s="7">
        <v>2.0000032000000001</v>
      </c>
      <c r="D59" s="7"/>
      <c r="E59" s="3"/>
      <c r="F59" s="3"/>
      <c r="G59" s="3"/>
      <c r="H59" s="25"/>
      <c r="I59" s="25"/>
      <c r="J59" s="25"/>
      <c r="K59" s="2">
        <v>0</v>
      </c>
      <c r="L59" s="3">
        <v>541.70000000000005</v>
      </c>
      <c r="M59" s="3">
        <v>750</v>
      </c>
      <c r="N59" s="25"/>
      <c r="O59" s="25"/>
      <c r="P59" s="25"/>
      <c r="Q59" s="25"/>
      <c r="R59" s="2">
        <v>1000</v>
      </c>
      <c r="S59" s="26"/>
      <c r="T59" s="26"/>
      <c r="U59" s="26"/>
      <c r="V59" s="26"/>
      <c r="W59" s="26">
        <v>48</v>
      </c>
      <c r="X59" s="3">
        <v>48.5</v>
      </c>
      <c r="Y59" s="7"/>
      <c r="Z59" s="3">
        <v>55.2</v>
      </c>
      <c r="AA59" s="3">
        <v>56.7</v>
      </c>
      <c r="AB59" s="47">
        <v>0</v>
      </c>
      <c r="AC59" s="47">
        <v>0</v>
      </c>
      <c r="AD59" s="7">
        <v>0</v>
      </c>
      <c r="AF59" s="63">
        <f t="shared" si="17"/>
        <v>7.2000000000000028</v>
      </c>
      <c r="AG59" s="63">
        <f t="shared" si="18"/>
        <v>15.000000000000005</v>
      </c>
      <c r="AH59" s="63">
        <f t="shared" si="19"/>
        <v>8.7000000000000028</v>
      </c>
      <c r="AI59" s="63">
        <f t="shared" si="20"/>
        <v>18.125000000000004</v>
      </c>
    </row>
    <row r="60" spans="1:35">
      <c r="A60" s="1" t="s">
        <v>93</v>
      </c>
      <c r="B60" s="63">
        <v>5</v>
      </c>
      <c r="C60" s="7">
        <v>2.2468670626618001</v>
      </c>
      <c r="D60" s="7"/>
      <c r="E60" s="3"/>
      <c r="F60" s="3"/>
      <c r="G60" s="3"/>
      <c r="H60" s="25"/>
      <c r="I60" s="25"/>
      <c r="J60" s="25"/>
      <c r="K60" s="2">
        <v>0</v>
      </c>
      <c r="L60" s="3">
        <v>541.70000000000005</v>
      </c>
      <c r="M60" s="3">
        <v>750</v>
      </c>
      <c r="N60" s="25"/>
      <c r="O60" s="25"/>
      <c r="P60" s="25"/>
      <c r="Q60" s="25"/>
      <c r="R60" s="2">
        <v>1317</v>
      </c>
      <c r="S60" s="26"/>
      <c r="T60" s="26"/>
      <c r="U60" s="26"/>
      <c r="V60" s="26"/>
      <c r="W60" s="26">
        <v>48</v>
      </c>
      <c r="X60" s="3">
        <v>48.5</v>
      </c>
      <c r="Y60" s="7"/>
      <c r="Z60" s="3">
        <v>55.2</v>
      </c>
      <c r="AA60" s="3">
        <v>56.7</v>
      </c>
      <c r="AB60" s="47">
        <v>0</v>
      </c>
      <c r="AC60" s="47">
        <v>0</v>
      </c>
      <c r="AD60" s="7">
        <v>0</v>
      </c>
      <c r="AF60" s="63">
        <f t="shared" si="17"/>
        <v>7.2000000000000028</v>
      </c>
      <c r="AG60" s="63">
        <f t="shared" si="18"/>
        <v>15.000000000000005</v>
      </c>
      <c r="AH60" s="63">
        <f t="shared" si="19"/>
        <v>8.7000000000000028</v>
      </c>
      <c r="AI60" s="63">
        <f t="shared" si="20"/>
        <v>18.125000000000004</v>
      </c>
    </row>
    <row r="61" spans="1:35">
      <c r="A61" s="1" t="s">
        <v>93</v>
      </c>
      <c r="B61" s="63">
        <v>3.9985895627644572</v>
      </c>
      <c r="C61" s="7">
        <v>2.3535699708921998</v>
      </c>
      <c r="D61" s="7"/>
      <c r="E61" s="3"/>
      <c r="F61" s="3"/>
      <c r="G61" s="3"/>
      <c r="H61" s="25"/>
      <c r="I61" s="25"/>
      <c r="J61" s="25"/>
      <c r="K61" s="2">
        <v>0</v>
      </c>
      <c r="L61" s="3">
        <v>541.70000000000005</v>
      </c>
      <c r="M61" s="3">
        <v>750</v>
      </c>
      <c r="N61" s="25"/>
      <c r="O61" s="25"/>
      <c r="P61" s="25"/>
      <c r="Q61" s="25"/>
      <c r="R61" s="2">
        <v>1459</v>
      </c>
      <c r="S61" s="26"/>
      <c r="T61" s="26"/>
      <c r="U61" s="26"/>
      <c r="V61" s="26"/>
      <c r="W61" s="26">
        <v>48</v>
      </c>
      <c r="X61" s="3">
        <v>48.5</v>
      </c>
      <c r="Y61" s="7"/>
      <c r="Z61" s="3">
        <v>55.2</v>
      </c>
      <c r="AA61" s="3">
        <v>56.7</v>
      </c>
      <c r="AB61" s="47">
        <v>11.355994358251053</v>
      </c>
      <c r="AC61" s="47">
        <v>0</v>
      </c>
      <c r="AD61" s="7">
        <v>0</v>
      </c>
      <c r="AF61" s="63">
        <f t="shared" si="17"/>
        <v>7.2000000000000028</v>
      </c>
      <c r="AG61" s="63">
        <f t="shared" si="18"/>
        <v>15.000000000000005</v>
      </c>
      <c r="AH61" s="63">
        <f t="shared" si="19"/>
        <v>8.7000000000000028</v>
      </c>
      <c r="AI61" s="63">
        <f t="shared" si="20"/>
        <v>18.125000000000004</v>
      </c>
    </row>
    <row r="62" spans="1:35">
      <c r="A62" s="1" t="s">
        <v>93</v>
      </c>
      <c r="B62" s="63">
        <v>3.0000000000000004</v>
      </c>
      <c r="C62" s="7">
        <v>2.5255971995050004</v>
      </c>
      <c r="D62" s="7"/>
      <c r="E62" s="3"/>
      <c r="F62" s="3"/>
      <c r="G62" s="3"/>
      <c r="H62" s="25"/>
      <c r="I62" s="25"/>
      <c r="J62" s="25"/>
      <c r="K62" s="2">
        <v>0</v>
      </c>
      <c r="L62" s="3">
        <v>541.70000000000005</v>
      </c>
      <c r="M62" s="3">
        <v>750</v>
      </c>
      <c r="N62" s="25"/>
      <c r="O62" s="25"/>
      <c r="P62" s="25"/>
      <c r="Q62" s="25"/>
      <c r="R62" s="2">
        <v>1695</v>
      </c>
      <c r="S62" s="26"/>
      <c r="T62" s="26"/>
      <c r="U62" s="26"/>
      <c r="V62" s="26"/>
      <c r="W62" s="26">
        <v>48</v>
      </c>
      <c r="X62" s="3">
        <v>48.5</v>
      </c>
      <c r="Y62" s="7"/>
      <c r="Z62" s="3">
        <v>55.2</v>
      </c>
      <c r="AA62" s="3">
        <v>56.7</v>
      </c>
      <c r="AB62" s="47">
        <v>22.68</v>
      </c>
      <c r="AC62" s="47">
        <v>0</v>
      </c>
      <c r="AD62" s="7">
        <v>0</v>
      </c>
      <c r="AF62" s="63">
        <f t="shared" si="17"/>
        <v>7.2000000000000028</v>
      </c>
      <c r="AG62" s="63">
        <f t="shared" si="18"/>
        <v>15.000000000000005</v>
      </c>
      <c r="AH62" s="63">
        <f t="shared" si="19"/>
        <v>8.7000000000000028</v>
      </c>
      <c r="AI62" s="63">
        <f t="shared" si="20"/>
        <v>18.125000000000004</v>
      </c>
    </row>
    <row r="63" spans="1:35">
      <c r="A63" s="1" t="s">
        <v>93</v>
      </c>
      <c r="B63" s="63">
        <v>2.0035335689045937</v>
      </c>
      <c r="C63" s="7">
        <v>2.8484426115449999</v>
      </c>
      <c r="D63" s="7"/>
      <c r="E63" s="3"/>
      <c r="F63" s="3"/>
      <c r="G63" s="3"/>
      <c r="H63" s="25"/>
      <c r="I63" s="25"/>
      <c r="J63" s="25"/>
      <c r="K63" s="2">
        <v>0</v>
      </c>
      <c r="L63" s="3">
        <v>541.70000000000005</v>
      </c>
      <c r="M63" s="3">
        <v>750</v>
      </c>
      <c r="N63" s="25"/>
      <c r="O63" s="25"/>
      <c r="P63" s="25"/>
      <c r="Q63" s="25"/>
      <c r="R63" s="2">
        <v>2165</v>
      </c>
      <c r="S63" s="26"/>
      <c r="T63" s="26"/>
      <c r="U63" s="26"/>
      <c r="V63" s="26"/>
      <c r="W63" s="26">
        <v>48</v>
      </c>
      <c r="X63" s="3">
        <v>48.5</v>
      </c>
      <c r="Y63" s="7"/>
      <c r="Z63" s="3">
        <v>55.2</v>
      </c>
      <c r="AA63" s="3">
        <v>56.7</v>
      </c>
      <c r="AB63" s="47">
        <v>33.979929328621907</v>
      </c>
      <c r="AC63" s="47">
        <v>5.579840989399294</v>
      </c>
      <c r="AD63" s="7">
        <v>0</v>
      </c>
      <c r="AF63" s="63">
        <f t="shared" si="17"/>
        <v>7.2000000000000028</v>
      </c>
      <c r="AG63" s="63">
        <f t="shared" si="18"/>
        <v>15.000000000000005</v>
      </c>
      <c r="AH63" s="63">
        <f t="shared" si="19"/>
        <v>8.7000000000000028</v>
      </c>
      <c r="AI63" s="63">
        <f t="shared" si="20"/>
        <v>18.125000000000004</v>
      </c>
    </row>
    <row r="64" spans="1:35">
      <c r="A64" s="1" t="s">
        <v>93</v>
      </c>
      <c r="B64" s="63">
        <v>0.99823943661971837</v>
      </c>
      <c r="C64" s="7">
        <v>3.6665458432199998</v>
      </c>
      <c r="D64" s="7"/>
      <c r="E64" s="3"/>
      <c r="F64" s="3"/>
      <c r="G64" s="3"/>
      <c r="H64" s="25"/>
      <c r="I64" s="25"/>
      <c r="J64" s="25"/>
      <c r="K64" s="2">
        <v>0</v>
      </c>
      <c r="L64" s="3">
        <v>541.70000000000005</v>
      </c>
      <c r="M64" s="3">
        <v>750</v>
      </c>
      <c r="N64" s="25"/>
      <c r="O64" s="25"/>
      <c r="P64" s="25"/>
      <c r="Q64" s="25"/>
      <c r="R64" s="2">
        <v>3590</v>
      </c>
      <c r="S64" s="26"/>
      <c r="T64" s="26"/>
      <c r="U64" s="26"/>
      <c r="V64" s="26"/>
      <c r="W64" s="26">
        <v>48</v>
      </c>
      <c r="X64" s="3">
        <v>48.5</v>
      </c>
      <c r="Y64" s="7"/>
      <c r="Z64" s="3">
        <v>55.2</v>
      </c>
      <c r="AA64" s="3">
        <v>56.7</v>
      </c>
      <c r="AB64" s="47">
        <v>45.379964788732394</v>
      </c>
      <c r="AC64" s="47">
        <v>31.229920774647887</v>
      </c>
      <c r="AD64" s="7">
        <v>17.07987676056338</v>
      </c>
      <c r="AF64" s="63">
        <f t="shared" si="17"/>
        <v>7.2000000000000028</v>
      </c>
      <c r="AG64" s="63">
        <f t="shared" si="18"/>
        <v>15.000000000000005</v>
      </c>
      <c r="AH64" s="63">
        <f t="shared" si="19"/>
        <v>8.7000000000000028</v>
      </c>
      <c r="AI64" s="63">
        <f t="shared" si="20"/>
        <v>18.125000000000004</v>
      </c>
    </row>
    <row r="65" spans="1:35">
      <c r="A65" s="1" t="s">
        <v>93</v>
      </c>
      <c r="B65" s="63">
        <v>0.50176991150442474</v>
      </c>
      <c r="C65" s="7">
        <v>4.5714339520000005</v>
      </c>
      <c r="D65" s="7"/>
      <c r="E65" s="3"/>
      <c r="F65" s="3"/>
      <c r="G65" s="3"/>
      <c r="H65" s="25"/>
      <c r="I65" s="25"/>
      <c r="J65" s="25"/>
      <c r="K65" s="2">
        <v>0</v>
      </c>
      <c r="L65" s="3">
        <v>541.70000000000005</v>
      </c>
      <c r="M65" s="3">
        <v>750</v>
      </c>
      <c r="N65" s="25"/>
      <c r="O65" s="25"/>
      <c r="P65" s="25"/>
      <c r="Q65" s="25"/>
      <c r="R65" s="2">
        <v>6400</v>
      </c>
      <c r="S65" s="26"/>
      <c r="T65" s="26"/>
      <c r="U65" s="26"/>
      <c r="V65" s="26"/>
      <c r="W65" s="26">
        <v>48</v>
      </c>
      <c r="X65" s="3">
        <v>48.5</v>
      </c>
      <c r="Y65" s="7"/>
      <c r="Z65" s="3">
        <v>55.2</v>
      </c>
      <c r="AA65" s="3">
        <v>56.7</v>
      </c>
      <c r="AB65" s="47">
        <v>51.009929203539826</v>
      </c>
      <c r="AC65" s="47">
        <v>43.897340707964602</v>
      </c>
      <c r="AD65" s="7">
        <v>36.784752212389378</v>
      </c>
      <c r="AF65" s="63">
        <f t="shared" si="17"/>
        <v>7.2000000000000028</v>
      </c>
      <c r="AG65" s="63">
        <f t="shared" si="18"/>
        <v>15.000000000000005</v>
      </c>
      <c r="AH65" s="63">
        <f t="shared" si="19"/>
        <v>8.7000000000000028</v>
      </c>
      <c r="AI65" s="63">
        <f t="shared" si="20"/>
        <v>18.125000000000004</v>
      </c>
    </row>
    <row r="68" spans="1:35">
      <c r="A68" s="130" t="s">
        <v>140</v>
      </c>
      <c r="B68" s="129"/>
    </row>
    <row r="69" spans="1:35">
      <c r="A69" s="131" t="s">
        <v>18</v>
      </c>
    </row>
    <row r="70" spans="1:35">
      <c r="A70" s="132" t="s">
        <v>141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Climate Action Tracker</vt:lpstr>
      <vt:lpstr>Climate Interactive</vt:lpstr>
      <vt:lpstr>Climate Interactive - Ratchets</vt:lpstr>
      <vt:lpstr>MIT</vt:lpstr>
      <vt:lpstr>UNFCCC</vt:lpstr>
      <vt:lpstr>GWP</vt:lpstr>
      <vt:lpstr>Summary -All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dc:creator>
  <cp:lastModifiedBy>Bruce</cp:lastModifiedBy>
  <dcterms:created xsi:type="dcterms:W3CDTF">2015-11-12T18:06:39Z</dcterms:created>
  <dcterms:modified xsi:type="dcterms:W3CDTF">2015-11-23T18:17:27Z</dcterms:modified>
</cp:coreProperties>
</file>